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gister" sheetId="1" state="visible" r:id="rId3"/>
    <sheet name="Due List" sheetId="2" state="visible" r:id="rId4"/>
  </sheets>
  <definedNames>
    <definedName function="false" hidden="false" localSheetId="1" name="_xlnm.Print_Titles" vbProcedure="false">'Due List'!$6:$6</definedName>
    <definedName function="false" hidden="false" localSheetId="0" name="_xlnm.Print_Titles" vbProcedure="false">Register!$10:$10</definedName>
    <definedName function="false" hidden="false" name="AsOf" vbProcedure="false">Register!$B$5</definedName>
    <definedName function="false" hidden="false" localSheetId="0" name="_xlnm.Print_Area" vbProcedure="false">OFFSET(Register!$A$1,0,0,MAX(10,SUMPRODUCT(MAX((LEN(Register!$A$11:$A$510&amp;Register!$B$11:$B$510&amp;Register!$C$11:$C$510&amp;Register!$D$11:$D$510&amp;Register!$E$11:$E$510)&gt;0)*ROW(Register!$A$11:$A$510)))),9)</definedName>
    <definedName function="false" hidden="false" localSheetId="1" name="_xlnm.Print_Area" vbProcedure="false">OFFSET('Due List'!$A$1,0,0,6+MAX(1,COUNT('Due List'!$H$7:$H$506)),7)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<sst xmlns="http://schemas.openxmlformats.org/spreadsheetml/2006/main" count="31" uniqueCount="30">
  <si>
    <t xml:space="preserve">Septic Pump-Due Tracker</t>
  </si>
  <si>
    <t xml:space="preserve">Which customers are due for service? One row per separately serviced site (a customer with two properties gets two rows). Type only in the green cells; the other columns work themselves out.</t>
  </si>
  <si>
    <t xml:space="preserve">Next due = last completed service + your interval in calendar months (Jan 31 + 1 month = Feb 28). The dates follow your own schedule; they aren't a diagnosis or a legal requirement. Interval: 1–240 whole months (a technical limit, not a suggestion). Change the last-service date only after service is actually completed; contacting a customer doesn't count.</t>
  </si>
  <si>
    <t xml:space="preserve">To print a reminder list, use the Due List sheet. Sort or filter here with the header arrows; whole rows move together. Room for 500 sites; rows typed below the table are flagged.</t>
  </si>
  <si>
    <t xml:space="preserve">As of</t>
  </si>
  <si>
    <t xml:space="preserve">Leave as =TODAY(). Type a date only to look at another day, then put =TODAY() back.</t>
  </si>
  <si>
    <t xml:space="preserve">30-day window to</t>
  </si>
  <si>
    <t xml:space="preserve">Check</t>
  </si>
  <si>
    <t xml:space="preserve">Due</t>
  </si>
  <si>
    <t xml:space="preserve">Customer / site name</t>
  </si>
  <si>
    <t xml:space="preserve">Service address / site ID</t>
  </si>
  <si>
    <t xml:space="preserve">Contact (optional)</t>
  </si>
  <si>
    <t xml:space="preserve">Last completed service</t>
  </si>
  <si>
    <t xml:space="preserve">Interval (months)</t>
  </si>
  <si>
    <t xml:space="preserve">Next due (calculated)</t>
  </si>
  <si>
    <t xml:space="preserve">Status (calculated)</t>
  </si>
  <si>
    <t xml:space="preserve">Days until due</t>
  </si>
  <si>
    <t xml:space="preserve">Details to check</t>
  </si>
  <si>
    <t xml:space="preserve">Due List order</t>
  </si>
  <si>
    <t xml:space="preserve">Service due list</t>
  </si>
  <si>
    <t xml:space="preserve">List to show:</t>
  </si>
  <si>
    <t xml:space="preserve">Needs attention</t>
  </si>
  <si>
    <t xml:space="preserve">Pick a list, then File &gt; Print. Excel prints only the filled rows; in other spreadsheet apps, select A1 to the last filled row and print the selection.</t>
  </si>
  <si>
    <t xml:space="preserve">Customer / site</t>
  </si>
  <si>
    <t xml:space="preserve">Contact</t>
  </si>
  <si>
    <t xml:space="preserve">Last service</t>
  </si>
  <si>
    <t xml:space="preserve">Interval</t>
  </si>
  <si>
    <t xml:space="preserve">Next due</t>
  </si>
  <si>
    <t xml:space="preserve">Status</t>
  </si>
  <si>
    <t xml:space="preserve">(order)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</si>
</sst>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mmm\ d&quot;, &quot;yyyy"/>
    <numFmt numFmtId="166" formatCode="0"/>
    <numFmt numFmtId="167" formatCode="0.00000"/>
  </numFmts>
  <fonts count="1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93447"/>
      <name val="Arial"/>
      <family val="0"/>
      <charset val="1"/>
    </font>
    <font>
      <sz val="9.5"/>
      <color rgb="FF56656D"/>
      <name val="Arial"/>
      <family val="0"/>
      <charset val="1"/>
    </font>
    <font>
      <b val="true"/>
      <sz val="11"/>
      <color rgb="FF1E2A32"/>
      <name val="Arial"/>
      <family val="0"/>
      <charset val="1"/>
    </font>
    <font>
      <sz val="9"/>
      <color rgb="FF56656D"/>
      <name val="Arial"/>
      <family val="0"/>
      <charset val="1"/>
    </font>
    <font>
      <b val="true"/>
      <sz val="10"/>
      <color rgb="FF1E2A32"/>
      <name val="Arial"/>
      <family val="0"/>
      <charset val="1"/>
    </font>
    <font>
      <b val="true"/>
      <sz val="10"/>
      <color rgb="FF3F5A44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1E2A32"/>
      <name val="Arial"/>
      <family val="0"/>
      <charset val="1"/>
    </font>
    <font>
      <sz val="10"/>
      <color rgb="FF56656D"/>
      <name val="Arial"/>
      <family val="0"/>
      <charset val="1"/>
    </font>
    <font>
      <b val="true"/>
      <sz val="16"/>
      <color rgb="FF193447"/>
      <name val="Arial"/>
      <family val="0"/>
      <charset val="1"/>
    </font>
    <font>
      <b val="true"/>
      <sz val="10"/>
      <color rgb="FF84291D"/>
      <name val="Arial"/>
      <family val="0"/>
      <charset val="1"/>
    </font>
    <font>
      <b val="true"/>
      <sz val="9.5"/>
      <color rgb="FFFFFFFF"/>
      <name val="Arial"/>
      <family val="0"/>
      <charset val="1"/>
    </font>
    <font>
      <b val="true"/>
      <sz val="9.5"/>
      <color rgb="FF56656D"/>
      <name val="Arial"/>
      <family val="0"/>
      <charset val="1"/>
    </font>
    <font>
      <sz val="9.5"/>
      <color rgb="FF1E2A32"/>
      <name val="Arial"/>
      <family val="0"/>
      <charset val="1"/>
    </font>
    <font>
      <b val="true"/>
      <sz val="9.5"/>
      <color rgb="FF1E2A32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E2EAE1"/>
        <bgColor rgb="FFF7E6C3"/>
      </patternFill>
    </fill>
    <fill>
      <patternFill patternType="solid">
        <fgColor rgb="FF193447"/>
        <bgColor rgb="FF1E2A32"/>
      </patternFill>
    </fill>
    <fill>
      <patternFill patternType="solid">
        <fgColor rgb="FFFFFFFF"/>
        <bgColor rgb="FFE2EAE1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3BAA6"/>
      </left>
      <right style="thin">
        <color rgb="FFC3BAA6"/>
      </right>
      <top style="thin">
        <color rgb="FFC3BAA6"/>
      </top>
      <bottom style="thin">
        <color rgb="FFC3BAA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1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1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7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false" applyProtection="true">
      <alignment horizontal="general" vertical="bottom" textRotation="0" wrapText="false" indent="0" shrinkToFit="false"/>
      <protection locked="false" hidden="false"/>
    </xf>
    <xf numFmtId="164" fontId="7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5" fontId="1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7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0">
    <dxf>
      <fill>
        <patternFill patternType="solid">
          <fgColor rgb="FF193447"/>
          <bgColor rgb="FF000000"/>
        </patternFill>
      </fill>
    </dxf>
    <dxf>
      <fill>
        <patternFill patternType="solid">
          <fgColor rgb="FFE2EAE1"/>
          <bgColor rgb="FF000000"/>
        </patternFill>
      </fill>
    </dxf>
    <dxf>
      <fill>
        <patternFill patternType="solid">
          <fgColor rgb="FF1E2A32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56656D"/>
          <bgColor rgb="FF000000"/>
        </patternFill>
      </fill>
    </dxf>
    <dxf>
      <font>
        <name val="Arial"/>
        <charset val="1"/>
        <family val="0"/>
        <b val="1"/>
        <color rgb="FF84291D"/>
      </font>
      <fill>
        <patternFill>
          <bgColor rgb="FFF3D8D2"/>
        </patternFill>
      </fill>
    </dxf>
    <dxf>
      <font>
        <name val="Arial"/>
        <charset val="1"/>
        <family val="0"/>
        <b val="1"/>
        <color rgb="FF6A4700"/>
      </font>
      <fill>
        <patternFill>
          <bgColor rgb="FFF7E6C3"/>
        </patternFill>
      </fill>
    </dxf>
    <dxf>
      <font>
        <name val="Arial"/>
        <charset val="1"/>
        <family val="0"/>
        <b val="1"/>
        <color rgb="FF3F5A44"/>
      </font>
      <fill>
        <patternFill>
          <bgColor rgb="FFE2EAE1"/>
        </patternFill>
      </fill>
    </dxf>
    <dxf>
      <font>
        <name val="Arial"/>
        <charset val="1"/>
        <family val="0"/>
        <b val="1"/>
        <color rgb="FF84291D"/>
      </font>
      <fill>
        <patternFill>
          <bgColor rgb="FFF7E6C3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3BAA6"/>
      <rgbColor rgb="FF808080"/>
      <rgbColor rgb="FF9999FF"/>
      <rgbColor rgb="FF993366"/>
      <rgbColor rgb="FFF7E6C3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AE1"/>
      <rgbColor rgb="FFFFFF99"/>
      <rgbColor rgb="FF99CCFF"/>
      <rgbColor rgb="FFFF99CC"/>
      <rgbColor rgb="FFCC99FF"/>
      <rgbColor rgb="FFF3D8D2"/>
      <rgbColor rgb="FF3366FF"/>
      <rgbColor rgb="FF33CCCC"/>
      <rgbColor rgb="FF99CC00"/>
      <rgbColor rgb="FFFFCC00"/>
      <rgbColor rgb="FFFF9900"/>
      <rgbColor rgb="FFFF6600"/>
      <rgbColor rgb="FF56656D"/>
      <rgbColor rgb="FF969696"/>
      <rgbColor rgb="FF193447"/>
      <rgbColor rgb="FF339966"/>
      <rgbColor rgb="FF003300"/>
      <rgbColor rgb="FF6A4700"/>
      <rgbColor rgb="FF84291D"/>
      <rgbColor rgb="FF993366"/>
      <rgbColor rgb="FF3F5A44"/>
      <rgbColor rgb="FF1E2A3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tblSites" displayName="tblSites" ref="A10:J510" headerRowCount="1" totalsRowCount="0" totalsRowShown="0">
  <autoFilter ref="A10:J510"/>
  <tableColumns count="10">
    <tableColumn id="1" name="Customer / site name"/>
    <tableColumn id="2" name="Service address / site ID"/>
    <tableColumn id="3" name="Contact (optional)"/>
    <tableColumn id="4" name="Last completed service"/>
    <tableColumn id="5" name="Interval (months)"/>
    <tableColumn id="6" name="Next due (calculated)"/>
    <tableColumn id="7" name="Status (calculated)"/>
    <tableColumn id="8" name="Days until due"/>
    <tableColumn id="9" name="Details to check"/>
    <tableColumn id="10" name="Due List order"/>
  </tableColumns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51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10" topLeftCell="B11" activePane="bottomRight" state="frozen"/>
      <selection pane="topLeft" activeCell="A1" activeCellId="0" sqref="A1"/>
      <selection pane="topRight" activeCell="B1" activeCellId="0" sqref="B1"/>
      <selection pane="bottomLeft" activeCell="A11" activeCellId="0" sqref="A11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30"/>
    <col collapsed="false" customWidth="true" hidden="false" outlineLevel="0" max="3" min="3" style="0" width="22"/>
    <col collapsed="false" customWidth="true" hidden="false" outlineLevel="0" max="4" min="4" style="0" width="15"/>
    <col collapsed="false" customWidth="true" hidden="false" outlineLevel="0" max="5" min="5" style="0" width="11"/>
    <col collapsed="false" customWidth="true" hidden="false" outlineLevel="0" max="6" min="6" style="0" width="15"/>
    <col collapsed="false" customWidth="true" hidden="false" outlineLevel="0" max="7" min="7" style="0" width="20"/>
    <col collapsed="false" customWidth="true" hidden="false" outlineLevel="0" max="8" min="8" style="0" width="10"/>
    <col collapsed="false" customWidth="true" hidden="false" outlineLevel="0" max="9" min="9" style="0" width="40"/>
    <col collapsed="false" customWidth="true" hidden="false" outlineLevel="0" max="10" min="10" style="0" width="10"/>
  </cols>
  <sheetData>
    <row r="1" customFormat="false" ht="27.75" hidden="false" customHeight="true" outlineLevel="0" collapsed="false">
      <c r="A1" s="1" t="s">
        <v>0</v>
      </c>
    </row>
    <row r="2" customFormat="false" ht="25.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customFormat="false" ht="37.5" hidden="false" customHeight="true" outlineLevel="0" collapsed="false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customFormat="false" ht="25.5" hidden="false" customHeight="true" outlineLevel="0" collapsed="false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</row>
    <row r="5" customFormat="false" ht="15" hidden="false" customHeight="false" outlineLevel="0" collapsed="false">
      <c r="A5" s="3" t="s">
        <v>4</v>
      </c>
      <c r="B5" s="4" t="n">
        <f aca="true">TODAY()</f>
        <v>46316</v>
      </c>
      <c r="C5" s="5" t="s">
        <v>5</v>
      </c>
    </row>
    <row r="6" customFormat="false" ht="15" hidden="false" customHeight="false" outlineLevel="0" collapsed="false">
      <c r="A6" s="6" t="s">
        <v>6</v>
      </c>
      <c r="B6" s="7" t="n">
        <f aca="false">AsOf+30</f>
        <v>46346</v>
      </c>
    </row>
    <row r="7" customFormat="false" ht="15" hidden="false" customHeight="false" outlineLevel="0" collapsed="false">
      <c r="A7" s="6" t="s">
        <v>7</v>
      </c>
      <c r="B7" s="8" t="str">
        <f aca="false">IF(COUNTIF($G$11:$G$510,"Check details")+SUMPRODUCT(--(LEN($A$511:$A$5000&amp;$B$511:$B$5000&amp;$C$511:$C$5000&amp;$D$511:$D$5000&amp;$E$511:$E$5000)&gt;0))&gt;0,"⚠ "&amp;IF(COUNTIF($G$11:$G$510,"Check details")&gt;0,COUNTIF($G$11:$G$510,"Check details")&amp;" record(s) need details checked (see Status). They have no due date and aren't on the due list. ","")&amp;IF(SUMPRODUCT(--(LEN($A$511:$A$5000&amp;$B$511:$B$5000&amp;$C$511:$C$5000&amp;$D$511:$D$5000&amp;$E$511:$E$5000)&gt;0))&gt;0,SUMPRODUCT(--(LEN($A$511:$A$5000&amp;$B$511:$B$5000&amp;$C$511:$C$5000&amp;$D$511:$D$5000&amp;$E$511:$E$5000)&gt;0))&amp;" row(s) below the table (after row 510) aren't checked. Move them into the table.",""),IF(SUMPRODUCT(--(LEN($A$11:$A$510&amp;$B$11:$B$510&amp;$C$11:$C$510&amp;$D$11:$D$510&amp;$E$11:$E$510)&gt;0))=0,"No records yet. Start in row 11.","All "&amp;SUMPRODUCT(--(LEN($A$11:$A$510&amp;$B$11:$B$510&amp;$C$11:$C$510&amp;$D$11:$D$510&amp;$E$11:$E$510)&gt;0))&amp;" record(s) have the details needed."))</f>
        <v>No records yet. Start in row 11.</v>
      </c>
      <c r="C7" s="8"/>
      <c r="D7" s="8"/>
      <c r="E7" s="8"/>
      <c r="F7" s="8"/>
      <c r="G7" s="8"/>
      <c r="H7" s="8"/>
      <c r="I7" s="8"/>
      <c r="J7" s="8"/>
    </row>
    <row r="8" customFormat="false" ht="15" hidden="false" customHeight="false" outlineLevel="0" collapsed="false">
      <c r="A8" s="6" t="s">
        <v>8</v>
      </c>
      <c r="B8" s="9" t="str">
        <f aca="false">COUNTIF($G$11:$G$510,"Overdue")&amp;" overdue · "&amp;COUNTIF($G$11:$G$510,"Due today")&amp;" due today · "&amp;COUNTIF($G$11:$G$510,"Due in next 30 days")&amp;" due in the next 30 days (by your recorded intervals)"</f>
        <v>0 overdue · 0 due today · 0 due in the next 30 days (by your recorded intervals)</v>
      </c>
      <c r="C8" s="9"/>
      <c r="D8" s="9"/>
      <c r="E8" s="9"/>
      <c r="F8" s="9"/>
      <c r="G8" s="9"/>
      <c r="H8" s="9"/>
      <c r="I8" s="9"/>
      <c r="J8" s="9"/>
    </row>
    <row r="10" customFormat="false" ht="30" hidden="false" customHeight="true" outlineLevel="0" collapsed="false">
      <c r="A10" s="10" t="s">
        <v>9</v>
      </c>
      <c r="B10" s="10" t="s">
        <v>10</v>
      </c>
      <c r="C10" s="10" t="s">
        <v>11</v>
      </c>
      <c r="D10" s="10" t="s">
        <v>12</v>
      </c>
      <c r="E10" s="10" t="s">
        <v>13</v>
      </c>
      <c r="F10" s="10" t="s">
        <v>14</v>
      </c>
      <c r="G10" s="10" t="s">
        <v>15</v>
      </c>
      <c r="H10" s="10" t="s">
        <v>16</v>
      </c>
      <c r="I10" s="10" t="s">
        <v>17</v>
      </c>
      <c r="J10" s="10" t="s">
        <v>18</v>
      </c>
    </row>
    <row r="11" customFormat="false" ht="15" hidden="false" customHeight="false" outlineLevel="0" collapsed="false">
      <c r="A11" s="11"/>
      <c r="B11" s="11"/>
      <c r="C11" s="11"/>
      <c r="D11" s="12"/>
      <c r="E11" s="13"/>
      <c r="F11" s="14" t="str">
        <f aca="false">IF(OR(AND($A11="",$B11="",$C11="",$D11="",$E11=""),$I11&lt;&gt;""),"",EDATE($D11,$E11))</f>
        <v/>
      </c>
      <c r="G11" s="6" t="str">
        <f aca="false">IF(AND($A11="",$B11="",$C11="",$D11="",$E11=""),"",IF($I11&lt;&gt;"","Check details",IF($F11&lt;AsOf,"Overdue",IF($F11=AsOf,"Due today",IF($F11&lt;=AsOf+30,"Due in next 30 days","Later")))))</f>
        <v/>
      </c>
      <c r="H11" s="15" t="str">
        <f aca="false">IF($F11="","",$F11-AsOf)</f>
        <v/>
      </c>
      <c r="I11" s="16" t="str">
        <f aca="false">IF(AND($A11="",$B11="",$C11="",$D11="",$E11=""),"",TRIM(IF($A11="","Name missing. ","")&amp;IF($B11="","Site missing. ","")&amp;IF($D11="","Last service missing. ",IF(NOT(ISNUMBER($D11)),"Last service isn't a date. ",IF(OR($D11&lt;18264,$D11&lt;&gt;INT($D11)),"Last service isn't a valid date. ",IF($D11&gt;AsOf,"Last service is after the as-of date. ",""))))&amp;IF($E11="","Interval missing.",IF(NOT(ISNUMBER($E11)),"Interval must be a number.",IF($E11&lt;&gt;INT($E11),"Interval must be whole months.",IF(OR($E11&lt;1,$E11&gt;240),"Interval must be 1-240 months.",""))))))</f>
        <v/>
      </c>
      <c r="J11" s="17" t="str">
        <f aca="false">IF(AND($A11="",$B11="",$C11="",$D11="",$E11=""),"",IF('Due List'!$B$4="Check details",IF($G11="Check details",ROW(),""),IF('Due List'!$B$4="All records",IF($G11="Check details",ROW()/100000,$F11+ROW()/100000),IF(OR($G11="Overdue",$G11="Due today",$G11="Due in next 30 days"),$F11+ROW()/100000,""))))</f>
        <v/>
      </c>
    </row>
    <row r="12" customFormat="false" ht="15" hidden="false" customHeight="false" outlineLevel="0" collapsed="false">
      <c r="A12" s="11"/>
      <c r="B12" s="11"/>
      <c r="C12" s="11"/>
      <c r="D12" s="12"/>
      <c r="E12" s="13"/>
      <c r="F12" s="14" t="str">
        <f aca="false">IF(OR(AND($A12="",$B12="",$C12="",$D12="",$E12=""),$I12&lt;&gt;""),"",EDATE($D12,$E12))</f>
        <v/>
      </c>
      <c r="G12" s="6" t="str">
        <f aca="false">IF(AND($A12="",$B12="",$C12="",$D12="",$E12=""),"",IF($I12&lt;&gt;"","Check details",IF($F12&lt;AsOf,"Overdue",IF($F12=AsOf,"Due today",IF($F12&lt;=AsOf+30,"Due in next 30 days","Later")))))</f>
        <v/>
      </c>
      <c r="H12" s="15" t="str">
        <f aca="false">IF($F12="","",$F12-AsOf)</f>
        <v/>
      </c>
      <c r="I12" s="16" t="str">
        <f aca="false">IF(AND($A12="",$B12="",$C12="",$D12="",$E12=""),"",TRIM(IF($A12="","Name missing. ","")&amp;IF($B12="","Site missing. ","")&amp;IF($D12="","Last service missing. ",IF(NOT(ISNUMBER($D12)),"Last service isn't a date. ",IF(OR($D12&lt;18264,$D12&lt;&gt;INT($D12)),"Last service isn't a valid date. ",IF($D12&gt;AsOf,"Last service is after the as-of date. ",""))))&amp;IF($E12="","Interval missing.",IF(NOT(ISNUMBER($E12)),"Interval must be a number.",IF($E12&lt;&gt;INT($E12),"Interval must be whole months.",IF(OR($E12&lt;1,$E12&gt;240),"Interval must be 1-240 months.",""))))))</f>
        <v/>
      </c>
      <c r="J12" s="17" t="str">
        <f aca="false">IF(AND($A12="",$B12="",$C12="",$D12="",$E12=""),"",IF('Due List'!$B$4="Check details",IF($G12="Check details",ROW(),""),IF('Due List'!$B$4="All records",IF($G12="Check details",ROW()/100000,$F12+ROW()/100000),IF(OR($G12="Overdue",$G12="Due today",$G12="Due in next 30 days"),$F12+ROW()/100000,""))))</f>
        <v/>
      </c>
    </row>
    <row r="13" customFormat="false" ht="15" hidden="false" customHeight="false" outlineLevel="0" collapsed="false">
      <c r="A13" s="11"/>
      <c r="B13" s="11"/>
      <c r="C13" s="11"/>
      <c r="D13" s="12"/>
      <c r="E13" s="13"/>
      <c r="F13" s="14" t="str">
        <f aca="false">IF(OR(AND($A13="",$B13="",$C13="",$D13="",$E13=""),$I13&lt;&gt;""),"",EDATE($D13,$E13))</f>
        <v/>
      </c>
      <c r="G13" s="6" t="str">
        <f aca="false">IF(AND($A13="",$B13="",$C13="",$D13="",$E13=""),"",IF($I13&lt;&gt;"","Check details",IF($F13&lt;AsOf,"Overdue",IF($F13=AsOf,"Due today",IF($F13&lt;=AsOf+30,"Due in next 30 days","Later")))))</f>
        <v/>
      </c>
      <c r="H13" s="15" t="str">
        <f aca="false">IF($F13="","",$F13-AsOf)</f>
        <v/>
      </c>
      <c r="I13" s="16" t="str">
        <f aca="false">IF(AND($A13="",$B13="",$C13="",$D13="",$E13=""),"",TRIM(IF($A13="","Name missing. ","")&amp;IF($B13="","Site missing. ","")&amp;IF($D13="","Last service missing. ",IF(NOT(ISNUMBER($D13)),"Last service isn't a date. ",IF(OR($D13&lt;18264,$D13&lt;&gt;INT($D13)),"Last service isn't a valid date. ",IF($D13&gt;AsOf,"Last service is after the as-of date. ",""))))&amp;IF($E13="","Interval missing.",IF(NOT(ISNUMBER($E13)),"Interval must be a number.",IF($E13&lt;&gt;INT($E13),"Interval must be whole months.",IF(OR($E13&lt;1,$E13&gt;240),"Interval must be 1-240 months.",""))))))</f>
        <v/>
      </c>
      <c r="J13" s="17" t="str">
        <f aca="false">IF(AND($A13="",$B13="",$C13="",$D13="",$E13=""),"",IF('Due List'!$B$4="Check details",IF($G13="Check details",ROW(),""),IF('Due List'!$B$4="All records",IF($G13="Check details",ROW()/100000,$F13+ROW()/100000),IF(OR($G13="Overdue",$G13="Due today",$G13="Due in next 30 days"),$F13+ROW()/100000,""))))</f>
        <v/>
      </c>
    </row>
    <row r="14" customFormat="false" ht="15" hidden="false" customHeight="false" outlineLevel="0" collapsed="false">
      <c r="A14" s="11"/>
      <c r="B14" s="11"/>
      <c r="C14" s="11"/>
      <c r="D14" s="12"/>
      <c r="E14" s="13"/>
      <c r="F14" s="14" t="str">
        <f aca="false">IF(OR(AND($A14="",$B14="",$C14="",$D14="",$E14=""),$I14&lt;&gt;""),"",EDATE($D14,$E14))</f>
        <v/>
      </c>
      <c r="G14" s="6" t="str">
        <f aca="false">IF(AND($A14="",$B14="",$C14="",$D14="",$E14=""),"",IF($I14&lt;&gt;"","Check details",IF($F14&lt;AsOf,"Overdue",IF($F14=AsOf,"Due today",IF($F14&lt;=AsOf+30,"Due in next 30 days","Later")))))</f>
        <v/>
      </c>
      <c r="H14" s="15" t="str">
        <f aca="false">IF($F14="","",$F14-AsOf)</f>
        <v/>
      </c>
      <c r="I14" s="16" t="str">
        <f aca="false">IF(AND($A14="",$B14="",$C14="",$D14="",$E14=""),"",TRIM(IF($A14="","Name missing. ","")&amp;IF($B14="","Site missing. ","")&amp;IF($D14="","Last service missing. ",IF(NOT(ISNUMBER($D14)),"Last service isn't a date. ",IF(OR($D14&lt;18264,$D14&lt;&gt;INT($D14)),"Last service isn't a valid date. ",IF($D14&gt;AsOf,"Last service is after the as-of date. ",""))))&amp;IF($E14="","Interval missing.",IF(NOT(ISNUMBER($E14)),"Interval must be a number.",IF($E14&lt;&gt;INT($E14),"Interval must be whole months.",IF(OR($E14&lt;1,$E14&gt;240),"Interval must be 1-240 months.",""))))))</f>
        <v/>
      </c>
      <c r="J14" s="17" t="str">
        <f aca="false">IF(AND($A14="",$B14="",$C14="",$D14="",$E14=""),"",IF('Due List'!$B$4="Check details",IF($G14="Check details",ROW(),""),IF('Due List'!$B$4="All records",IF($G14="Check details",ROW()/100000,$F14+ROW()/100000),IF(OR($G14="Overdue",$G14="Due today",$G14="Due in next 30 days"),$F14+ROW()/100000,""))))</f>
        <v/>
      </c>
    </row>
    <row r="15" customFormat="false" ht="15" hidden="false" customHeight="false" outlineLevel="0" collapsed="false">
      <c r="A15" s="11"/>
      <c r="B15" s="11"/>
      <c r="C15" s="11"/>
      <c r="D15" s="12"/>
      <c r="E15" s="13"/>
      <c r="F15" s="14" t="str">
        <f aca="false">IF(OR(AND($A15="",$B15="",$C15="",$D15="",$E15=""),$I15&lt;&gt;""),"",EDATE($D15,$E15))</f>
        <v/>
      </c>
      <c r="G15" s="6" t="str">
        <f aca="false">IF(AND($A15="",$B15="",$C15="",$D15="",$E15=""),"",IF($I15&lt;&gt;"","Check details",IF($F15&lt;AsOf,"Overdue",IF($F15=AsOf,"Due today",IF($F15&lt;=AsOf+30,"Due in next 30 days","Later")))))</f>
        <v/>
      </c>
      <c r="H15" s="15" t="str">
        <f aca="false">IF($F15="","",$F15-AsOf)</f>
        <v/>
      </c>
      <c r="I15" s="16" t="str">
        <f aca="false">IF(AND($A15="",$B15="",$C15="",$D15="",$E15=""),"",TRIM(IF($A15="","Name missing. ","")&amp;IF($B15="","Site missing. ","")&amp;IF($D15="","Last service missing. ",IF(NOT(ISNUMBER($D15)),"Last service isn't a date. ",IF(OR($D15&lt;18264,$D15&lt;&gt;INT($D15)),"Last service isn't a valid date. ",IF($D15&gt;AsOf,"Last service is after the as-of date. ",""))))&amp;IF($E15="","Interval missing.",IF(NOT(ISNUMBER($E15)),"Interval must be a number.",IF($E15&lt;&gt;INT($E15),"Interval must be whole months.",IF(OR($E15&lt;1,$E15&gt;240),"Interval must be 1-240 months.",""))))))</f>
        <v/>
      </c>
      <c r="J15" s="17" t="str">
        <f aca="false">IF(AND($A15="",$B15="",$C15="",$D15="",$E15=""),"",IF('Due List'!$B$4="Check details",IF($G15="Check details",ROW(),""),IF('Due List'!$B$4="All records",IF($G15="Check details",ROW()/100000,$F15+ROW()/100000),IF(OR($G15="Overdue",$G15="Due today",$G15="Due in next 30 days"),$F15+ROW()/100000,""))))</f>
        <v/>
      </c>
    </row>
    <row r="16" customFormat="false" ht="15" hidden="false" customHeight="false" outlineLevel="0" collapsed="false">
      <c r="A16" s="11"/>
      <c r="B16" s="11"/>
      <c r="C16" s="11"/>
      <c r="D16" s="12"/>
      <c r="E16" s="13"/>
      <c r="F16" s="14" t="str">
        <f aca="false">IF(OR(AND($A16="",$B16="",$C16="",$D16="",$E16=""),$I16&lt;&gt;""),"",EDATE($D16,$E16))</f>
        <v/>
      </c>
      <c r="G16" s="6" t="str">
        <f aca="false">IF(AND($A16="",$B16="",$C16="",$D16="",$E16=""),"",IF($I16&lt;&gt;"","Check details",IF($F16&lt;AsOf,"Overdue",IF($F16=AsOf,"Due today",IF($F16&lt;=AsOf+30,"Due in next 30 days","Later")))))</f>
        <v/>
      </c>
      <c r="H16" s="15" t="str">
        <f aca="false">IF($F16="","",$F16-AsOf)</f>
        <v/>
      </c>
      <c r="I16" s="16" t="str">
        <f aca="false">IF(AND($A16="",$B16="",$C16="",$D16="",$E16=""),"",TRIM(IF($A16="","Name missing. ","")&amp;IF($B16="","Site missing. ","")&amp;IF($D16="","Last service missing. ",IF(NOT(ISNUMBER($D16)),"Last service isn't a date. ",IF(OR($D16&lt;18264,$D16&lt;&gt;INT($D16)),"Last service isn't a valid date. ",IF($D16&gt;AsOf,"Last service is after the as-of date. ",""))))&amp;IF($E16="","Interval missing.",IF(NOT(ISNUMBER($E16)),"Interval must be a number.",IF($E16&lt;&gt;INT($E16),"Interval must be whole months.",IF(OR($E16&lt;1,$E16&gt;240),"Interval must be 1-240 months.",""))))))</f>
        <v/>
      </c>
      <c r="J16" s="17" t="str">
        <f aca="false">IF(AND($A16="",$B16="",$C16="",$D16="",$E16=""),"",IF('Due List'!$B$4="Check details",IF($G16="Check details",ROW(),""),IF('Due List'!$B$4="All records",IF($G16="Check details",ROW()/100000,$F16+ROW()/100000),IF(OR($G16="Overdue",$G16="Due today",$G16="Due in next 30 days"),$F16+ROW()/100000,""))))</f>
        <v/>
      </c>
    </row>
    <row r="17" customFormat="false" ht="15" hidden="false" customHeight="false" outlineLevel="0" collapsed="false">
      <c r="A17" s="11"/>
      <c r="B17" s="11"/>
      <c r="C17" s="11"/>
      <c r="D17" s="12"/>
      <c r="E17" s="13"/>
      <c r="F17" s="14" t="str">
        <f aca="false">IF(OR(AND($A17="",$B17="",$C17="",$D17="",$E17=""),$I17&lt;&gt;""),"",EDATE($D17,$E17))</f>
        <v/>
      </c>
      <c r="G17" s="6" t="str">
        <f aca="false">IF(AND($A17="",$B17="",$C17="",$D17="",$E17=""),"",IF($I17&lt;&gt;"","Check details",IF($F17&lt;AsOf,"Overdue",IF($F17=AsOf,"Due today",IF($F17&lt;=AsOf+30,"Due in next 30 days","Later")))))</f>
        <v/>
      </c>
      <c r="H17" s="15" t="str">
        <f aca="false">IF($F17="","",$F17-AsOf)</f>
        <v/>
      </c>
      <c r="I17" s="16" t="str">
        <f aca="false">IF(AND($A17="",$B17="",$C17="",$D17="",$E17=""),"",TRIM(IF($A17="","Name missing. ","")&amp;IF($B17="","Site missing. ","")&amp;IF($D17="","Last service missing. ",IF(NOT(ISNUMBER($D17)),"Last service isn't a date. ",IF(OR($D17&lt;18264,$D17&lt;&gt;INT($D17)),"Last service isn't a valid date. ",IF($D17&gt;AsOf,"Last service is after the as-of date. ",""))))&amp;IF($E17="","Interval missing.",IF(NOT(ISNUMBER($E17)),"Interval must be a number.",IF($E17&lt;&gt;INT($E17),"Interval must be whole months.",IF(OR($E17&lt;1,$E17&gt;240),"Interval must be 1-240 months.",""))))))</f>
        <v/>
      </c>
      <c r="J17" s="17" t="str">
        <f aca="false">IF(AND($A17="",$B17="",$C17="",$D17="",$E17=""),"",IF('Due List'!$B$4="Check details",IF($G17="Check details",ROW(),""),IF('Due List'!$B$4="All records",IF($G17="Check details",ROW()/100000,$F17+ROW()/100000),IF(OR($G17="Overdue",$G17="Due today",$G17="Due in next 30 days"),$F17+ROW()/100000,""))))</f>
        <v/>
      </c>
    </row>
    <row r="18" customFormat="false" ht="15" hidden="false" customHeight="false" outlineLevel="0" collapsed="false">
      <c r="A18" s="11"/>
      <c r="B18" s="11"/>
      <c r="C18" s="11"/>
      <c r="D18" s="12"/>
      <c r="E18" s="13"/>
      <c r="F18" s="14" t="str">
        <f aca="false">IF(OR(AND($A18="",$B18="",$C18="",$D18="",$E18=""),$I18&lt;&gt;""),"",EDATE($D18,$E18))</f>
        <v/>
      </c>
      <c r="G18" s="6" t="str">
        <f aca="false">IF(AND($A18="",$B18="",$C18="",$D18="",$E18=""),"",IF($I18&lt;&gt;"","Check details",IF($F18&lt;AsOf,"Overdue",IF($F18=AsOf,"Due today",IF($F18&lt;=AsOf+30,"Due in next 30 days","Later")))))</f>
        <v/>
      </c>
      <c r="H18" s="15" t="str">
        <f aca="false">IF($F18="","",$F18-AsOf)</f>
        <v/>
      </c>
      <c r="I18" s="16" t="str">
        <f aca="false">IF(AND($A18="",$B18="",$C18="",$D18="",$E18=""),"",TRIM(IF($A18="","Name missing. ","")&amp;IF($B18="","Site missing. ","")&amp;IF($D18="","Last service missing. ",IF(NOT(ISNUMBER($D18)),"Last service isn't a date. ",IF(OR($D18&lt;18264,$D18&lt;&gt;INT($D18)),"Last service isn't a valid date. ",IF($D18&gt;AsOf,"Last service is after the as-of date. ",""))))&amp;IF($E18="","Interval missing.",IF(NOT(ISNUMBER($E18)),"Interval must be a number.",IF($E18&lt;&gt;INT($E18),"Interval must be whole months.",IF(OR($E18&lt;1,$E18&gt;240),"Interval must be 1-240 months.",""))))))</f>
        <v/>
      </c>
      <c r="J18" s="17" t="str">
        <f aca="false">IF(AND($A18="",$B18="",$C18="",$D18="",$E18=""),"",IF('Due List'!$B$4="Check details",IF($G18="Check details",ROW(),""),IF('Due List'!$B$4="All records",IF($G18="Check details",ROW()/100000,$F18+ROW()/100000),IF(OR($G18="Overdue",$G18="Due today",$G18="Due in next 30 days"),$F18+ROW()/100000,""))))</f>
        <v/>
      </c>
    </row>
    <row r="19" customFormat="false" ht="15" hidden="false" customHeight="false" outlineLevel="0" collapsed="false">
      <c r="A19" s="11"/>
      <c r="B19" s="11"/>
      <c r="C19" s="11"/>
      <c r="D19" s="12"/>
      <c r="E19" s="13"/>
      <c r="F19" s="14" t="str">
        <f aca="false">IF(OR(AND($A19="",$B19="",$C19="",$D19="",$E19=""),$I19&lt;&gt;""),"",EDATE($D19,$E19))</f>
        <v/>
      </c>
      <c r="G19" s="6" t="str">
        <f aca="false">IF(AND($A19="",$B19="",$C19="",$D19="",$E19=""),"",IF($I19&lt;&gt;"","Check details",IF($F19&lt;AsOf,"Overdue",IF($F19=AsOf,"Due today",IF($F19&lt;=AsOf+30,"Due in next 30 days","Later")))))</f>
        <v/>
      </c>
      <c r="H19" s="15" t="str">
        <f aca="false">IF($F19="","",$F19-AsOf)</f>
        <v/>
      </c>
      <c r="I19" s="16" t="str">
        <f aca="false">IF(AND($A19="",$B19="",$C19="",$D19="",$E19=""),"",TRIM(IF($A19="","Name missing. ","")&amp;IF($B19="","Site missing. ","")&amp;IF($D19="","Last service missing. ",IF(NOT(ISNUMBER($D19)),"Last service isn't a date. ",IF(OR($D19&lt;18264,$D19&lt;&gt;INT($D19)),"Last service isn't a valid date. ",IF($D19&gt;AsOf,"Last service is after the as-of date. ",""))))&amp;IF($E19="","Interval missing.",IF(NOT(ISNUMBER($E19)),"Interval must be a number.",IF($E19&lt;&gt;INT($E19),"Interval must be whole months.",IF(OR($E19&lt;1,$E19&gt;240),"Interval must be 1-240 months.",""))))))</f>
        <v/>
      </c>
      <c r="J19" s="17" t="str">
        <f aca="false">IF(AND($A19="",$B19="",$C19="",$D19="",$E19=""),"",IF('Due List'!$B$4="Check details",IF($G19="Check details",ROW(),""),IF('Due List'!$B$4="All records",IF($G19="Check details",ROW()/100000,$F19+ROW()/100000),IF(OR($G19="Overdue",$G19="Due today",$G19="Due in next 30 days"),$F19+ROW()/100000,""))))</f>
        <v/>
      </c>
    </row>
    <row r="20" customFormat="false" ht="15" hidden="false" customHeight="false" outlineLevel="0" collapsed="false">
      <c r="A20" s="11"/>
      <c r="B20" s="11"/>
      <c r="C20" s="11"/>
      <c r="D20" s="12"/>
      <c r="E20" s="13"/>
      <c r="F20" s="14" t="str">
        <f aca="false">IF(OR(AND($A20="",$B20="",$C20="",$D20="",$E20=""),$I20&lt;&gt;""),"",EDATE($D20,$E20))</f>
        <v/>
      </c>
      <c r="G20" s="6" t="str">
        <f aca="false">IF(AND($A20="",$B20="",$C20="",$D20="",$E20=""),"",IF($I20&lt;&gt;"","Check details",IF($F20&lt;AsOf,"Overdue",IF($F20=AsOf,"Due today",IF($F20&lt;=AsOf+30,"Due in next 30 days","Later")))))</f>
        <v/>
      </c>
      <c r="H20" s="15" t="str">
        <f aca="false">IF($F20="","",$F20-AsOf)</f>
        <v/>
      </c>
      <c r="I20" s="16" t="str">
        <f aca="false">IF(AND($A20="",$B20="",$C20="",$D20="",$E20=""),"",TRIM(IF($A20="","Name missing. ","")&amp;IF($B20="","Site missing. ","")&amp;IF($D20="","Last service missing. ",IF(NOT(ISNUMBER($D20)),"Last service isn't a date. ",IF(OR($D20&lt;18264,$D20&lt;&gt;INT($D20)),"Last service isn't a valid date. ",IF($D20&gt;AsOf,"Last service is after the as-of date. ",""))))&amp;IF($E20="","Interval missing.",IF(NOT(ISNUMBER($E20)),"Interval must be a number.",IF($E20&lt;&gt;INT($E20),"Interval must be whole months.",IF(OR($E20&lt;1,$E20&gt;240),"Interval must be 1-240 months.",""))))))</f>
        <v/>
      </c>
      <c r="J20" s="17" t="str">
        <f aca="false">IF(AND($A20="",$B20="",$C20="",$D20="",$E20=""),"",IF('Due List'!$B$4="Check details",IF($G20="Check details",ROW(),""),IF('Due List'!$B$4="All records",IF($G20="Check details",ROW()/100000,$F20+ROW()/100000),IF(OR($G20="Overdue",$G20="Due today",$G20="Due in next 30 days"),$F20+ROW()/100000,""))))</f>
        <v/>
      </c>
    </row>
    <row r="21" customFormat="false" ht="15" hidden="false" customHeight="false" outlineLevel="0" collapsed="false">
      <c r="A21" s="11"/>
      <c r="B21" s="11"/>
      <c r="C21" s="11"/>
      <c r="D21" s="12"/>
      <c r="E21" s="13"/>
      <c r="F21" s="14" t="str">
        <f aca="false">IF(OR(AND($A21="",$B21="",$C21="",$D21="",$E21=""),$I21&lt;&gt;""),"",EDATE($D21,$E21))</f>
        <v/>
      </c>
      <c r="G21" s="6" t="str">
        <f aca="false">IF(AND($A21="",$B21="",$C21="",$D21="",$E21=""),"",IF($I21&lt;&gt;"","Check details",IF($F21&lt;AsOf,"Overdue",IF($F21=AsOf,"Due today",IF($F21&lt;=AsOf+30,"Due in next 30 days","Later")))))</f>
        <v/>
      </c>
      <c r="H21" s="15" t="str">
        <f aca="false">IF($F21="","",$F21-AsOf)</f>
        <v/>
      </c>
      <c r="I21" s="16" t="str">
        <f aca="false">IF(AND($A21="",$B21="",$C21="",$D21="",$E21=""),"",TRIM(IF($A21="","Name missing. ","")&amp;IF($B21="","Site missing. ","")&amp;IF($D21="","Last service missing. ",IF(NOT(ISNUMBER($D21)),"Last service isn't a date. ",IF(OR($D21&lt;18264,$D21&lt;&gt;INT($D21)),"Last service isn't a valid date. ",IF($D21&gt;AsOf,"Last service is after the as-of date. ",""))))&amp;IF($E21="","Interval missing.",IF(NOT(ISNUMBER($E21)),"Interval must be a number.",IF($E21&lt;&gt;INT($E21),"Interval must be whole months.",IF(OR($E21&lt;1,$E21&gt;240),"Interval must be 1-240 months.",""))))))</f>
        <v/>
      </c>
      <c r="J21" s="17" t="str">
        <f aca="false">IF(AND($A21="",$B21="",$C21="",$D21="",$E21=""),"",IF('Due List'!$B$4="Check details",IF($G21="Check details",ROW(),""),IF('Due List'!$B$4="All records",IF($G21="Check details",ROW()/100000,$F21+ROW()/100000),IF(OR($G21="Overdue",$G21="Due today",$G21="Due in next 30 days"),$F21+ROW()/100000,""))))</f>
        <v/>
      </c>
    </row>
    <row r="22" customFormat="false" ht="15" hidden="false" customHeight="false" outlineLevel="0" collapsed="false">
      <c r="A22" s="11"/>
      <c r="B22" s="11"/>
      <c r="C22" s="11"/>
      <c r="D22" s="12"/>
      <c r="E22" s="13"/>
      <c r="F22" s="14" t="str">
        <f aca="false">IF(OR(AND($A22="",$B22="",$C22="",$D22="",$E22=""),$I22&lt;&gt;""),"",EDATE($D22,$E22))</f>
        <v/>
      </c>
      <c r="G22" s="6" t="str">
        <f aca="false">IF(AND($A22="",$B22="",$C22="",$D22="",$E22=""),"",IF($I22&lt;&gt;"","Check details",IF($F22&lt;AsOf,"Overdue",IF($F22=AsOf,"Due today",IF($F22&lt;=AsOf+30,"Due in next 30 days","Later")))))</f>
        <v/>
      </c>
      <c r="H22" s="15" t="str">
        <f aca="false">IF($F22="","",$F22-AsOf)</f>
        <v/>
      </c>
      <c r="I22" s="16" t="str">
        <f aca="false">IF(AND($A22="",$B22="",$C22="",$D22="",$E22=""),"",TRIM(IF($A22="","Name missing. ","")&amp;IF($B22="","Site missing. ","")&amp;IF($D22="","Last service missing. ",IF(NOT(ISNUMBER($D22)),"Last service isn't a date. ",IF(OR($D22&lt;18264,$D22&lt;&gt;INT($D22)),"Last service isn't a valid date. ",IF($D22&gt;AsOf,"Last service is after the as-of date. ",""))))&amp;IF($E22="","Interval missing.",IF(NOT(ISNUMBER($E22)),"Interval must be a number.",IF($E22&lt;&gt;INT($E22),"Interval must be whole months.",IF(OR($E22&lt;1,$E22&gt;240),"Interval must be 1-240 months.",""))))))</f>
        <v/>
      </c>
      <c r="J22" s="17" t="str">
        <f aca="false">IF(AND($A22="",$B22="",$C22="",$D22="",$E22=""),"",IF('Due List'!$B$4="Check details",IF($G22="Check details",ROW(),""),IF('Due List'!$B$4="All records",IF($G22="Check details",ROW()/100000,$F22+ROW()/100000),IF(OR($G22="Overdue",$G22="Due today",$G22="Due in next 30 days"),$F22+ROW()/100000,""))))</f>
        <v/>
      </c>
    </row>
    <row r="23" customFormat="false" ht="15" hidden="false" customHeight="false" outlineLevel="0" collapsed="false">
      <c r="A23" s="11"/>
      <c r="B23" s="11"/>
      <c r="C23" s="11"/>
      <c r="D23" s="12"/>
      <c r="E23" s="13"/>
      <c r="F23" s="14" t="str">
        <f aca="false">IF(OR(AND($A23="",$B23="",$C23="",$D23="",$E23=""),$I23&lt;&gt;""),"",EDATE($D23,$E23))</f>
        <v/>
      </c>
      <c r="G23" s="6" t="str">
        <f aca="false">IF(AND($A23="",$B23="",$C23="",$D23="",$E23=""),"",IF($I23&lt;&gt;"","Check details",IF($F23&lt;AsOf,"Overdue",IF($F23=AsOf,"Due today",IF($F23&lt;=AsOf+30,"Due in next 30 days","Later")))))</f>
        <v/>
      </c>
      <c r="H23" s="15" t="str">
        <f aca="false">IF($F23="","",$F23-AsOf)</f>
        <v/>
      </c>
      <c r="I23" s="16" t="str">
        <f aca="false">IF(AND($A23="",$B23="",$C23="",$D23="",$E23=""),"",TRIM(IF($A23="","Name missing. ","")&amp;IF($B23="","Site missing. ","")&amp;IF($D23="","Last service missing. ",IF(NOT(ISNUMBER($D23)),"Last service isn't a date. ",IF(OR($D23&lt;18264,$D23&lt;&gt;INT($D23)),"Last service isn't a valid date. ",IF($D23&gt;AsOf,"Last service is after the as-of date. ",""))))&amp;IF($E23="","Interval missing.",IF(NOT(ISNUMBER($E23)),"Interval must be a number.",IF($E23&lt;&gt;INT($E23),"Interval must be whole months.",IF(OR($E23&lt;1,$E23&gt;240),"Interval must be 1-240 months.",""))))))</f>
        <v/>
      </c>
      <c r="J23" s="17" t="str">
        <f aca="false">IF(AND($A23="",$B23="",$C23="",$D23="",$E23=""),"",IF('Due List'!$B$4="Check details",IF($G23="Check details",ROW(),""),IF('Due List'!$B$4="All records",IF($G23="Check details",ROW()/100000,$F23+ROW()/100000),IF(OR($G23="Overdue",$G23="Due today",$G23="Due in next 30 days"),$F23+ROW()/100000,""))))</f>
        <v/>
      </c>
    </row>
    <row r="24" customFormat="false" ht="15" hidden="false" customHeight="false" outlineLevel="0" collapsed="false">
      <c r="A24" s="11"/>
      <c r="B24" s="11"/>
      <c r="C24" s="11"/>
      <c r="D24" s="12"/>
      <c r="E24" s="13"/>
      <c r="F24" s="14" t="str">
        <f aca="false">IF(OR(AND($A24="",$B24="",$C24="",$D24="",$E24=""),$I24&lt;&gt;""),"",EDATE($D24,$E24))</f>
        <v/>
      </c>
      <c r="G24" s="6" t="str">
        <f aca="false">IF(AND($A24="",$B24="",$C24="",$D24="",$E24=""),"",IF($I24&lt;&gt;"","Check details",IF($F24&lt;AsOf,"Overdue",IF($F24=AsOf,"Due today",IF($F24&lt;=AsOf+30,"Due in next 30 days","Later")))))</f>
        <v/>
      </c>
      <c r="H24" s="15" t="str">
        <f aca="false">IF($F24="","",$F24-AsOf)</f>
        <v/>
      </c>
      <c r="I24" s="16" t="str">
        <f aca="false">IF(AND($A24="",$B24="",$C24="",$D24="",$E24=""),"",TRIM(IF($A24="","Name missing. ","")&amp;IF($B24="","Site missing. ","")&amp;IF($D24="","Last service missing. ",IF(NOT(ISNUMBER($D24)),"Last service isn't a date. ",IF(OR($D24&lt;18264,$D24&lt;&gt;INT($D24)),"Last service isn't a valid date. ",IF($D24&gt;AsOf,"Last service is after the as-of date. ",""))))&amp;IF($E24="","Interval missing.",IF(NOT(ISNUMBER($E24)),"Interval must be a number.",IF($E24&lt;&gt;INT($E24),"Interval must be whole months.",IF(OR($E24&lt;1,$E24&gt;240),"Interval must be 1-240 months.",""))))))</f>
        <v/>
      </c>
      <c r="J24" s="17" t="str">
        <f aca="false">IF(AND($A24="",$B24="",$C24="",$D24="",$E24=""),"",IF('Due List'!$B$4="Check details",IF($G24="Check details",ROW(),""),IF('Due List'!$B$4="All records",IF($G24="Check details",ROW()/100000,$F24+ROW()/100000),IF(OR($G24="Overdue",$G24="Due today",$G24="Due in next 30 days"),$F24+ROW()/100000,""))))</f>
        <v/>
      </c>
    </row>
    <row r="25" customFormat="false" ht="15" hidden="false" customHeight="false" outlineLevel="0" collapsed="false">
      <c r="A25" s="11"/>
      <c r="B25" s="11"/>
      <c r="C25" s="11"/>
      <c r="D25" s="12"/>
      <c r="E25" s="13"/>
      <c r="F25" s="14" t="str">
        <f aca="false">IF(OR(AND($A25="",$B25="",$C25="",$D25="",$E25=""),$I25&lt;&gt;""),"",EDATE($D25,$E25))</f>
        <v/>
      </c>
      <c r="G25" s="6" t="str">
        <f aca="false">IF(AND($A25="",$B25="",$C25="",$D25="",$E25=""),"",IF($I25&lt;&gt;"","Check details",IF($F25&lt;AsOf,"Overdue",IF($F25=AsOf,"Due today",IF($F25&lt;=AsOf+30,"Due in next 30 days","Later")))))</f>
        <v/>
      </c>
      <c r="H25" s="15" t="str">
        <f aca="false">IF($F25="","",$F25-AsOf)</f>
        <v/>
      </c>
      <c r="I25" s="16" t="str">
        <f aca="false">IF(AND($A25="",$B25="",$C25="",$D25="",$E25=""),"",TRIM(IF($A25="","Name missing. ","")&amp;IF($B25="","Site missing. ","")&amp;IF($D25="","Last service missing. ",IF(NOT(ISNUMBER($D25)),"Last service isn't a date. ",IF(OR($D25&lt;18264,$D25&lt;&gt;INT($D25)),"Last service isn't a valid date. ",IF($D25&gt;AsOf,"Last service is after the as-of date. ",""))))&amp;IF($E25="","Interval missing.",IF(NOT(ISNUMBER($E25)),"Interval must be a number.",IF($E25&lt;&gt;INT($E25),"Interval must be whole months.",IF(OR($E25&lt;1,$E25&gt;240),"Interval must be 1-240 months.",""))))))</f>
        <v/>
      </c>
      <c r="J25" s="17" t="str">
        <f aca="false">IF(AND($A25="",$B25="",$C25="",$D25="",$E25=""),"",IF('Due List'!$B$4="Check details",IF($G25="Check details",ROW(),""),IF('Due List'!$B$4="All records",IF($G25="Check details",ROW()/100000,$F25+ROW()/100000),IF(OR($G25="Overdue",$G25="Due today",$G25="Due in next 30 days"),$F25+ROW()/100000,""))))</f>
        <v/>
      </c>
    </row>
    <row r="26" customFormat="false" ht="15" hidden="false" customHeight="false" outlineLevel="0" collapsed="false">
      <c r="A26" s="11"/>
      <c r="B26" s="11"/>
      <c r="C26" s="11"/>
      <c r="D26" s="12"/>
      <c r="E26" s="13"/>
      <c r="F26" s="14" t="str">
        <f aca="false">IF(OR(AND($A26="",$B26="",$C26="",$D26="",$E26=""),$I26&lt;&gt;""),"",EDATE($D26,$E26))</f>
        <v/>
      </c>
      <c r="G26" s="6" t="str">
        <f aca="false">IF(AND($A26="",$B26="",$C26="",$D26="",$E26=""),"",IF($I26&lt;&gt;"","Check details",IF($F26&lt;AsOf,"Overdue",IF($F26=AsOf,"Due today",IF($F26&lt;=AsOf+30,"Due in next 30 days","Later")))))</f>
        <v/>
      </c>
      <c r="H26" s="15" t="str">
        <f aca="false">IF($F26="","",$F26-AsOf)</f>
        <v/>
      </c>
      <c r="I26" s="16" t="str">
        <f aca="false">IF(AND($A26="",$B26="",$C26="",$D26="",$E26=""),"",TRIM(IF($A26="","Name missing. ","")&amp;IF($B26="","Site missing. ","")&amp;IF($D26="","Last service missing. ",IF(NOT(ISNUMBER($D26)),"Last service isn't a date. ",IF(OR($D26&lt;18264,$D26&lt;&gt;INT($D26)),"Last service isn't a valid date. ",IF($D26&gt;AsOf,"Last service is after the as-of date. ",""))))&amp;IF($E26="","Interval missing.",IF(NOT(ISNUMBER($E26)),"Interval must be a number.",IF($E26&lt;&gt;INT($E26),"Interval must be whole months.",IF(OR($E26&lt;1,$E26&gt;240),"Interval must be 1-240 months.",""))))))</f>
        <v/>
      </c>
      <c r="J26" s="17" t="str">
        <f aca="false">IF(AND($A26="",$B26="",$C26="",$D26="",$E26=""),"",IF('Due List'!$B$4="Check details",IF($G26="Check details",ROW(),""),IF('Due List'!$B$4="All records",IF($G26="Check details",ROW()/100000,$F26+ROW()/100000),IF(OR($G26="Overdue",$G26="Due today",$G26="Due in next 30 days"),$F26+ROW()/100000,""))))</f>
        <v/>
      </c>
    </row>
    <row r="27" customFormat="false" ht="15" hidden="false" customHeight="false" outlineLevel="0" collapsed="false">
      <c r="A27" s="11"/>
      <c r="B27" s="11"/>
      <c r="C27" s="11"/>
      <c r="D27" s="12"/>
      <c r="E27" s="13"/>
      <c r="F27" s="14" t="str">
        <f aca="false">IF(OR(AND($A27="",$B27="",$C27="",$D27="",$E27=""),$I27&lt;&gt;""),"",EDATE($D27,$E27))</f>
        <v/>
      </c>
      <c r="G27" s="6" t="str">
        <f aca="false">IF(AND($A27="",$B27="",$C27="",$D27="",$E27=""),"",IF($I27&lt;&gt;"","Check details",IF($F27&lt;AsOf,"Overdue",IF($F27=AsOf,"Due today",IF($F27&lt;=AsOf+30,"Due in next 30 days","Later")))))</f>
        <v/>
      </c>
      <c r="H27" s="15" t="str">
        <f aca="false">IF($F27="","",$F27-AsOf)</f>
        <v/>
      </c>
      <c r="I27" s="16" t="str">
        <f aca="false">IF(AND($A27="",$B27="",$C27="",$D27="",$E27=""),"",TRIM(IF($A27="","Name missing. ","")&amp;IF($B27="","Site missing. ","")&amp;IF($D27="","Last service missing. ",IF(NOT(ISNUMBER($D27)),"Last service isn't a date. ",IF(OR($D27&lt;18264,$D27&lt;&gt;INT($D27)),"Last service isn't a valid date. ",IF($D27&gt;AsOf,"Last service is after the as-of date. ",""))))&amp;IF($E27="","Interval missing.",IF(NOT(ISNUMBER($E27)),"Interval must be a number.",IF($E27&lt;&gt;INT($E27),"Interval must be whole months.",IF(OR($E27&lt;1,$E27&gt;240),"Interval must be 1-240 months.",""))))))</f>
        <v/>
      </c>
      <c r="J27" s="17" t="str">
        <f aca="false">IF(AND($A27="",$B27="",$C27="",$D27="",$E27=""),"",IF('Due List'!$B$4="Check details",IF($G27="Check details",ROW(),""),IF('Due List'!$B$4="All records",IF($G27="Check details",ROW()/100000,$F27+ROW()/100000),IF(OR($G27="Overdue",$G27="Due today",$G27="Due in next 30 days"),$F27+ROW()/100000,""))))</f>
        <v/>
      </c>
    </row>
    <row r="28" customFormat="false" ht="15" hidden="false" customHeight="false" outlineLevel="0" collapsed="false">
      <c r="A28" s="11"/>
      <c r="B28" s="11"/>
      <c r="C28" s="11"/>
      <c r="D28" s="12"/>
      <c r="E28" s="13"/>
      <c r="F28" s="14" t="str">
        <f aca="false">IF(OR(AND($A28="",$B28="",$C28="",$D28="",$E28=""),$I28&lt;&gt;""),"",EDATE($D28,$E28))</f>
        <v/>
      </c>
      <c r="G28" s="6" t="str">
        <f aca="false">IF(AND($A28="",$B28="",$C28="",$D28="",$E28=""),"",IF($I28&lt;&gt;"","Check details",IF($F28&lt;AsOf,"Overdue",IF($F28=AsOf,"Due today",IF($F28&lt;=AsOf+30,"Due in next 30 days","Later")))))</f>
        <v/>
      </c>
      <c r="H28" s="15" t="str">
        <f aca="false">IF($F28="","",$F28-AsOf)</f>
        <v/>
      </c>
      <c r="I28" s="16" t="str">
        <f aca="false">IF(AND($A28="",$B28="",$C28="",$D28="",$E28=""),"",TRIM(IF($A28="","Name missing. ","")&amp;IF($B28="","Site missing. ","")&amp;IF($D28="","Last service missing. ",IF(NOT(ISNUMBER($D28)),"Last service isn't a date. ",IF(OR($D28&lt;18264,$D28&lt;&gt;INT($D28)),"Last service isn't a valid date. ",IF($D28&gt;AsOf,"Last service is after the as-of date. ",""))))&amp;IF($E28="","Interval missing.",IF(NOT(ISNUMBER($E28)),"Interval must be a number.",IF($E28&lt;&gt;INT($E28),"Interval must be whole months.",IF(OR($E28&lt;1,$E28&gt;240),"Interval must be 1-240 months.",""))))))</f>
        <v/>
      </c>
      <c r="J28" s="17" t="str">
        <f aca="false">IF(AND($A28="",$B28="",$C28="",$D28="",$E28=""),"",IF('Due List'!$B$4="Check details",IF($G28="Check details",ROW(),""),IF('Due List'!$B$4="All records",IF($G28="Check details",ROW()/100000,$F28+ROW()/100000),IF(OR($G28="Overdue",$G28="Due today",$G28="Due in next 30 days"),$F28+ROW()/100000,""))))</f>
        <v/>
      </c>
    </row>
    <row r="29" customFormat="false" ht="15" hidden="false" customHeight="false" outlineLevel="0" collapsed="false">
      <c r="A29" s="11"/>
      <c r="B29" s="11"/>
      <c r="C29" s="11"/>
      <c r="D29" s="12"/>
      <c r="E29" s="13"/>
      <c r="F29" s="14" t="str">
        <f aca="false">IF(OR(AND($A29="",$B29="",$C29="",$D29="",$E29=""),$I29&lt;&gt;""),"",EDATE($D29,$E29))</f>
        <v/>
      </c>
      <c r="G29" s="6" t="str">
        <f aca="false">IF(AND($A29="",$B29="",$C29="",$D29="",$E29=""),"",IF($I29&lt;&gt;"","Check details",IF($F29&lt;AsOf,"Overdue",IF($F29=AsOf,"Due today",IF($F29&lt;=AsOf+30,"Due in next 30 days","Later")))))</f>
        <v/>
      </c>
      <c r="H29" s="15" t="str">
        <f aca="false">IF($F29="","",$F29-AsOf)</f>
        <v/>
      </c>
      <c r="I29" s="16" t="str">
        <f aca="false">IF(AND($A29="",$B29="",$C29="",$D29="",$E29=""),"",TRIM(IF($A29="","Name missing. ","")&amp;IF($B29="","Site missing. ","")&amp;IF($D29="","Last service missing. ",IF(NOT(ISNUMBER($D29)),"Last service isn't a date. ",IF(OR($D29&lt;18264,$D29&lt;&gt;INT($D29)),"Last service isn't a valid date. ",IF($D29&gt;AsOf,"Last service is after the as-of date. ",""))))&amp;IF($E29="","Interval missing.",IF(NOT(ISNUMBER($E29)),"Interval must be a number.",IF($E29&lt;&gt;INT($E29),"Interval must be whole months.",IF(OR($E29&lt;1,$E29&gt;240),"Interval must be 1-240 months.",""))))))</f>
        <v/>
      </c>
      <c r="J29" s="17" t="str">
        <f aca="false">IF(AND($A29="",$B29="",$C29="",$D29="",$E29=""),"",IF('Due List'!$B$4="Check details",IF($G29="Check details",ROW(),""),IF('Due List'!$B$4="All records",IF($G29="Check details",ROW()/100000,$F29+ROW()/100000),IF(OR($G29="Overdue",$G29="Due today",$G29="Due in next 30 days"),$F29+ROW()/100000,""))))</f>
        <v/>
      </c>
    </row>
    <row r="30" customFormat="false" ht="15" hidden="false" customHeight="false" outlineLevel="0" collapsed="false">
      <c r="A30" s="11"/>
      <c r="B30" s="11"/>
      <c r="C30" s="11"/>
      <c r="D30" s="12"/>
      <c r="E30" s="13"/>
      <c r="F30" s="14" t="str">
        <f aca="false">IF(OR(AND($A30="",$B30="",$C30="",$D30="",$E30=""),$I30&lt;&gt;""),"",EDATE($D30,$E30))</f>
        <v/>
      </c>
      <c r="G30" s="6" t="str">
        <f aca="false">IF(AND($A30="",$B30="",$C30="",$D30="",$E30=""),"",IF($I30&lt;&gt;"","Check details",IF($F30&lt;AsOf,"Overdue",IF($F30=AsOf,"Due today",IF($F30&lt;=AsOf+30,"Due in next 30 days","Later")))))</f>
        <v/>
      </c>
      <c r="H30" s="15" t="str">
        <f aca="false">IF($F30="","",$F30-AsOf)</f>
        <v/>
      </c>
      <c r="I30" s="16" t="str">
        <f aca="false">IF(AND($A30="",$B30="",$C30="",$D30="",$E30=""),"",TRIM(IF($A30="","Name missing. ","")&amp;IF($B30="","Site missing. ","")&amp;IF($D30="","Last service missing. ",IF(NOT(ISNUMBER($D30)),"Last service isn't a date. ",IF(OR($D30&lt;18264,$D30&lt;&gt;INT($D30)),"Last service isn't a valid date. ",IF($D30&gt;AsOf,"Last service is after the as-of date. ",""))))&amp;IF($E30="","Interval missing.",IF(NOT(ISNUMBER($E30)),"Interval must be a number.",IF($E30&lt;&gt;INT($E30),"Interval must be whole months.",IF(OR($E30&lt;1,$E30&gt;240),"Interval must be 1-240 months.",""))))))</f>
        <v/>
      </c>
      <c r="J30" s="17" t="str">
        <f aca="false">IF(AND($A30="",$B30="",$C30="",$D30="",$E30=""),"",IF('Due List'!$B$4="Check details",IF($G30="Check details",ROW(),""),IF('Due List'!$B$4="All records",IF($G30="Check details",ROW()/100000,$F30+ROW()/100000),IF(OR($G30="Overdue",$G30="Due today",$G30="Due in next 30 days"),$F30+ROW()/100000,""))))</f>
        <v/>
      </c>
    </row>
    <row r="31" customFormat="false" ht="15" hidden="false" customHeight="false" outlineLevel="0" collapsed="false">
      <c r="A31" s="11"/>
      <c r="B31" s="11"/>
      <c r="C31" s="11"/>
      <c r="D31" s="12"/>
      <c r="E31" s="13"/>
      <c r="F31" s="14" t="str">
        <f aca="false">IF(OR(AND($A31="",$B31="",$C31="",$D31="",$E31=""),$I31&lt;&gt;""),"",EDATE($D31,$E31))</f>
        <v/>
      </c>
      <c r="G31" s="6" t="str">
        <f aca="false">IF(AND($A31="",$B31="",$C31="",$D31="",$E31=""),"",IF($I31&lt;&gt;"","Check details",IF($F31&lt;AsOf,"Overdue",IF($F31=AsOf,"Due today",IF($F31&lt;=AsOf+30,"Due in next 30 days","Later")))))</f>
        <v/>
      </c>
      <c r="H31" s="15" t="str">
        <f aca="false">IF($F31="","",$F31-AsOf)</f>
        <v/>
      </c>
      <c r="I31" s="16" t="str">
        <f aca="false">IF(AND($A31="",$B31="",$C31="",$D31="",$E31=""),"",TRIM(IF($A31="","Name missing. ","")&amp;IF($B31="","Site missing. ","")&amp;IF($D31="","Last service missing. ",IF(NOT(ISNUMBER($D31)),"Last service isn't a date. ",IF(OR($D31&lt;18264,$D31&lt;&gt;INT($D31)),"Last service isn't a valid date. ",IF($D31&gt;AsOf,"Last service is after the as-of date. ",""))))&amp;IF($E31="","Interval missing.",IF(NOT(ISNUMBER($E31)),"Interval must be a number.",IF($E31&lt;&gt;INT($E31),"Interval must be whole months.",IF(OR($E31&lt;1,$E31&gt;240),"Interval must be 1-240 months.",""))))))</f>
        <v/>
      </c>
      <c r="J31" s="17" t="str">
        <f aca="false">IF(AND($A31="",$B31="",$C31="",$D31="",$E31=""),"",IF('Due List'!$B$4="Check details",IF($G31="Check details",ROW(),""),IF('Due List'!$B$4="All records",IF($G31="Check details",ROW()/100000,$F31+ROW()/100000),IF(OR($G31="Overdue",$G31="Due today",$G31="Due in next 30 days"),$F31+ROW()/100000,""))))</f>
        <v/>
      </c>
    </row>
    <row r="32" customFormat="false" ht="15" hidden="false" customHeight="false" outlineLevel="0" collapsed="false">
      <c r="A32" s="11"/>
      <c r="B32" s="11"/>
      <c r="C32" s="11"/>
      <c r="D32" s="12"/>
      <c r="E32" s="13"/>
      <c r="F32" s="14" t="str">
        <f aca="false">IF(OR(AND($A32="",$B32="",$C32="",$D32="",$E32=""),$I32&lt;&gt;""),"",EDATE($D32,$E32))</f>
        <v/>
      </c>
      <c r="G32" s="6" t="str">
        <f aca="false">IF(AND($A32="",$B32="",$C32="",$D32="",$E32=""),"",IF($I32&lt;&gt;"","Check details",IF($F32&lt;AsOf,"Overdue",IF($F32=AsOf,"Due today",IF($F32&lt;=AsOf+30,"Due in next 30 days","Later")))))</f>
        <v/>
      </c>
      <c r="H32" s="15" t="str">
        <f aca="false">IF($F32="","",$F32-AsOf)</f>
        <v/>
      </c>
      <c r="I32" s="16" t="str">
        <f aca="false">IF(AND($A32="",$B32="",$C32="",$D32="",$E32=""),"",TRIM(IF($A32="","Name missing. ","")&amp;IF($B32="","Site missing. ","")&amp;IF($D32="","Last service missing. ",IF(NOT(ISNUMBER($D32)),"Last service isn't a date. ",IF(OR($D32&lt;18264,$D32&lt;&gt;INT($D32)),"Last service isn't a valid date. ",IF($D32&gt;AsOf,"Last service is after the as-of date. ",""))))&amp;IF($E32="","Interval missing.",IF(NOT(ISNUMBER($E32)),"Interval must be a number.",IF($E32&lt;&gt;INT($E32),"Interval must be whole months.",IF(OR($E32&lt;1,$E32&gt;240),"Interval must be 1-240 months.",""))))))</f>
        <v/>
      </c>
      <c r="J32" s="17" t="str">
        <f aca="false">IF(AND($A32="",$B32="",$C32="",$D32="",$E32=""),"",IF('Due List'!$B$4="Check details",IF($G32="Check details",ROW(),""),IF('Due List'!$B$4="All records",IF($G32="Check details",ROW()/100000,$F32+ROW()/100000),IF(OR($G32="Overdue",$G32="Due today",$G32="Due in next 30 days"),$F32+ROW()/100000,""))))</f>
        <v/>
      </c>
    </row>
    <row r="33" customFormat="false" ht="15" hidden="false" customHeight="false" outlineLevel="0" collapsed="false">
      <c r="A33" s="11"/>
      <c r="B33" s="11"/>
      <c r="C33" s="11"/>
      <c r="D33" s="12"/>
      <c r="E33" s="13"/>
      <c r="F33" s="14" t="str">
        <f aca="false">IF(OR(AND($A33="",$B33="",$C33="",$D33="",$E33=""),$I33&lt;&gt;""),"",EDATE($D33,$E33))</f>
        <v/>
      </c>
      <c r="G33" s="6" t="str">
        <f aca="false">IF(AND($A33="",$B33="",$C33="",$D33="",$E33=""),"",IF($I33&lt;&gt;"","Check details",IF($F33&lt;AsOf,"Overdue",IF($F33=AsOf,"Due today",IF($F33&lt;=AsOf+30,"Due in next 30 days","Later")))))</f>
        <v/>
      </c>
      <c r="H33" s="15" t="str">
        <f aca="false">IF($F33="","",$F33-AsOf)</f>
        <v/>
      </c>
      <c r="I33" s="16" t="str">
        <f aca="false">IF(AND($A33="",$B33="",$C33="",$D33="",$E33=""),"",TRIM(IF($A33="","Name missing. ","")&amp;IF($B33="","Site missing. ","")&amp;IF($D33="","Last service missing. ",IF(NOT(ISNUMBER($D33)),"Last service isn't a date. ",IF(OR($D33&lt;18264,$D33&lt;&gt;INT($D33)),"Last service isn't a valid date. ",IF($D33&gt;AsOf,"Last service is after the as-of date. ",""))))&amp;IF($E33="","Interval missing.",IF(NOT(ISNUMBER($E33)),"Interval must be a number.",IF($E33&lt;&gt;INT($E33),"Interval must be whole months.",IF(OR($E33&lt;1,$E33&gt;240),"Interval must be 1-240 months.",""))))))</f>
        <v/>
      </c>
      <c r="J33" s="17" t="str">
        <f aca="false">IF(AND($A33="",$B33="",$C33="",$D33="",$E33=""),"",IF('Due List'!$B$4="Check details",IF($G33="Check details",ROW(),""),IF('Due List'!$B$4="All records",IF($G33="Check details",ROW()/100000,$F33+ROW()/100000),IF(OR($G33="Overdue",$G33="Due today",$G33="Due in next 30 days"),$F33+ROW()/100000,""))))</f>
        <v/>
      </c>
    </row>
    <row r="34" customFormat="false" ht="15" hidden="false" customHeight="false" outlineLevel="0" collapsed="false">
      <c r="A34" s="11"/>
      <c r="B34" s="11"/>
      <c r="C34" s="11"/>
      <c r="D34" s="12"/>
      <c r="E34" s="13"/>
      <c r="F34" s="14" t="str">
        <f aca="false">IF(OR(AND($A34="",$B34="",$C34="",$D34="",$E34=""),$I34&lt;&gt;""),"",EDATE($D34,$E34))</f>
        <v/>
      </c>
      <c r="G34" s="6" t="str">
        <f aca="false">IF(AND($A34="",$B34="",$C34="",$D34="",$E34=""),"",IF($I34&lt;&gt;"","Check details",IF($F34&lt;AsOf,"Overdue",IF($F34=AsOf,"Due today",IF($F34&lt;=AsOf+30,"Due in next 30 days","Later")))))</f>
        <v/>
      </c>
      <c r="H34" s="15" t="str">
        <f aca="false">IF($F34="","",$F34-AsOf)</f>
        <v/>
      </c>
      <c r="I34" s="16" t="str">
        <f aca="false">IF(AND($A34="",$B34="",$C34="",$D34="",$E34=""),"",TRIM(IF($A34="","Name missing. ","")&amp;IF($B34="","Site missing. ","")&amp;IF($D34="","Last service missing. ",IF(NOT(ISNUMBER($D34)),"Last service isn't a date. ",IF(OR($D34&lt;18264,$D34&lt;&gt;INT($D34)),"Last service isn't a valid date. ",IF($D34&gt;AsOf,"Last service is after the as-of date. ",""))))&amp;IF($E34="","Interval missing.",IF(NOT(ISNUMBER($E34)),"Interval must be a number.",IF($E34&lt;&gt;INT($E34),"Interval must be whole months.",IF(OR($E34&lt;1,$E34&gt;240),"Interval must be 1-240 months.",""))))))</f>
        <v/>
      </c>
      <c r="J34" s="17" t="str">
        <f aca="false">IF(AND($A34="",$B34="",$C34="",$D34="",$E34=""),"",IF('Due List'!$B$4="Check details",IF($G34="Check details",ROW(),""),IF('Due List'!$B$4="All records",IF($G34="Check details",ROW()/100000,$F34+ROW()/100000),IF(OR($G34="Overdue",$G34="Due today",$G34="Due in next 30 days"),$F34+ROW()/100000,""))))</f>
        <v/>
      </c>
    </row>
    <row r="35" customFormat="false" ht="15" hidden="false" customHeight="false" outlineLevel="0" collapsed="false">
      <c r="A35" s="11"/>
      <c r="B35" s="11"/>
      <c r="C35" s="11"/>
      <c r="D35" s="12"/>
      <c r="E35" s="13"/>
      <c r="F35" s="14" t="str">
        <f aca="false">IF(OR(AND($A35="",$B35="",$C35="",$D35="",$E35=""),$I35&lt;&gt;""),"",EDATE($D35,$E35))</f>
        <v/>
      </c>
      <c r="G35" s="6" t="str">
        <f aca="false">IF(AND($A35="",$B35="",$C35="",$D35="",$E35=""),"",IF($I35&lt;&gt;"","Check details",IF($F35&lt;AsOf,"Overdue",IF($F35=AsOf,"Due today",IF($F35&lt;=AsOf+30,"Due in next 30 days","Later")))))</f>
        <v/>
      </c>
      <c r="H35" s="15" t="str">
        <f aca="false">IF($F35="","",$F35-AsOf)</f>
        <v/>
      </c>
      <c r="I35" s="16" t="str">
        <f aca="false">IF(AND($A35="",$B35="",$C35="",$D35="",$E35=""),"",TRIM(IF($A35="","Name missing. ","")&amp;IF($B35="","Site missing. ","")&amp;IF($D35="","Last service missing. ",IF(NOT(ISNUMBER($D35)),"Last service isn't a date. ",IF(OR($D35&lt;18264,$D35&lt;&gt;INT($D35)),"Last service isn't a valid date. ",IF($D35&gt;AsOf,"Last service is after the as-of date. ",""))))&amp;IF($E35="","Interval missing.",IF(NOT(ISNUMBER($E35)),"Interval must be a number.",IF($E35&lt;&gt;INT($E35),"Interval must be whole months.",IF(OR($E35&lt;1,$E35&gt;240),"Interval must be 1-240 months.",""))))))</f>
        <v/>
      </c>
      <c r="J35" s="17" t="str">
        <f aca="false">IF(AND($A35="",$B35="",$C35="",$D35="",$E35=""),"",IF('Due List'!$B$4="Check details",IF($G35="Check details",ROW(),""),IF('Due List'!$B$4="All records",IF($G35="Check details",ROW()/100000,$F35+ROW()/100000),IF(OR($G35="Overdue",$G35="Due today",$G35="Due in next 30 days"),$F35+ROW()/100000,""))))</f>
        <v/>
      </c>
    </row>
    <row r="36" customFormat="false" ht="15" hidden="false" customHeight="false" outlineLevel="0" collapsed="false">
      <c r="A36" s="11"/>
      <c r="B36" s="11"/>
      <c r="C36" s="11"/>
      <c r="D36" s="12"/>
      <c r="E36" s="13"/>
      <c r="F36" s="14" t="str">
        <f aca="false">IF(OR(AND($A36="",$B36="",$C36="",$D36="",$E36=""),$I36&lt;&gt;""),"",EDATE($D36,$E36))</f>
        <v/>
      </c>
      <c r="G36" s="6" t="str">
        <f aca="false">IF(AND($A36="",$B36="",$C36="",$D36="",$E36=""),"",IF($I36&lt;&gt;"","Check details",IF($F36&lt;AsOf,"Overdue",IF($F36=AsOf,"Due today",IF($F36&lt;=AsOf+30,"Due in next 30 days","Later")))))</f>
        <v/>
      </c>
      <c r="H36" s="15" t="str">
        <f aca="false">IF($F36="","",$F36-AsOf)</f>
        <v/>
      </c>
      <c r="I36" s="16" t="str">
        <f aca="false">IF(AND($A36="",$B36="",$C36="",$D36="",$E36=""),"",TRIM(IF($A36="","Name missing. ","")&amp;IF($B36="","Site missing. ","")&amp;IF($D36="","Last service missing. ",IF(NOT(ISNUMBER($D36)),"Last service isn't a date. ",IF(OR($D36&lt;18264,$D36&lt;&gt;INT($D36)),"Last service isn't a valid date. ",IF($D36&gt;AsOf,"Last service is after the as-of date. ",""))))&amp;IF($E36="","Interval missing.",IF(NOT(ISNUMBER($E36)),"Interval must be a number.",IF($E36&lt;&gt;INT($E36),"Interval must be whole months.",IF(OR($E36&lt;1,$E36&gt;240),"Interval must be 1-240 months.",""))))))</f>
        <v/>
      </c>
      <c r="J36" s="17" t="str">
        <f aca="false">IF(AND($A36="",$B36="",$C36="",$D36="",$E36=""),"",IF('Due List'!$B$4="Check details",IF($G36="Check details",ROW(),""),IF('Due List'!$B$4="All records",IF($G36="Check details",ROW()/100000,$F36+ROW()/100000),IF(OR($G36="Overdue",$G36="Due today",$G36="Due in next 30 days"),$F36+ROW()/100000,""))))</f>
        <v/>
      </c>
    </row>
    <row r="37" customFormat="false" ht="15" hidden="false" customHeight="false" outlineLevel="0" collapsed="false">
      <c r="A37" s="11"/>
      <c r="B37" s="11"/>
      <c r="C37" s="11"/>
      <c r="D37" s="12"/>
      <c r="E37" s="13"/>
      <c r="F37" s="14" t="str">
        <f aca="false">IF(OR(AND($A37="",$B37="",$C37="",$D37="",$E37=""),$I37&lt;&gt;""),"",EDATE($D37,$E37))</f>
        <v/>
      </c>
      <c r="G37" s="6" t="str">
        <f aca="false">IF(AND($A37="",$B37="",$C37="",$D37="",$E37=""),"",IF($I37&lt;&gt;"","Check details",IF($F37&lt;AsOf,"Overdue",IF($F37=AsOf,"Due today",IF($F37&lt;=AsOf+30,"Due in next 30 days","Later")))))</f>
        <v/>
      </c>
      <c r="H37" s="15" t="str">
        <f aca="false">IF($F37="","",$F37-AsOf)</f>
        <v/>
      </c>
      <c r="I37" s="16" t="str">
        <f aca="false">IF(AND($A37="",$B37="",$C37="",$D37="",$E37=""),"",TRIM(IF($A37="","Name missing. ","")&amp;IF($B37="","Site missing. ","")&amp;IF($D37="","Last service missing. ",IF(NOT(ISNUMBER($D37)),"Last service isn't a date. ",IF(OR($D37&lt;18264,$D37&lt;&gt;INT($D37)),"Last service isn't a valid date. ",IF($D37&gt;AsOf,"Last service is after the as-of date. ",""))))&amp;IF($E37="","Interval missing.",IF(NOT(ISNUMBER($E37)),"Interval must be a number.",IF($E37&lt;&gt;INT($E37),"Interval must be whole months.",IF(OR($E37&lt;1,$E37&gt;240),"Interval must be 1-240 months.",""))))))</f>
        <v/>
      </c>
      <c r="J37" s="17" t="str">
        <f aca="false">IF(AND($A37="",$B37="",$C37="",$D37="",$E37=""),"",IF('Due List'!$B$4="Check details",IF($G37="Check details",ROW(),""),IF('Due List'!$B$4="All records",IF($G37="Check details",ROW()/100000,$F37+ROW()/100000),IF(OR($G37="Overdue",$G37="Due today",$G37="Due in next 30 days"),$F37+ROW()/100000,""))))</f>
        <v/>
      </c>
    </row>
    <row r="38" customFormat="false" ht="15" hidden="false" customHeight="false" outlineLevel="0" collapsed="false">
      <c r="A38" s="11"/>
      <c r="B38" s="11"/>
      <c r="C38" s="11"/>
      <c r="D38" s="12"/>
      <c r="E38" s="13"/>
      <c r="F38" s="14" t="str">
        <f aca="false">IF(OR(AND($A38="",$B38="",$C38="",$D38="",$E38=""),$I38&lt;&gt;""),"",EDATE($D38,$E38))</f>
        <v/>
      </c>
      <c r="G38" s="6" t="str">
        <f aca="false">IF(AND($A38="",$B38="",$C38="",$D38="",$E38=""),"",IF($I38&lt;&gt;"","Check details",IF($F38&lt;AsOf,"Overdue",IF($F38=AsOf,"Due today",IF($F38&lt;=AsOf+30,"Due in next 30 days","Later")))))</f>
        <v/>
      </c>
      <c r="H38" s="15" t="str">
        <f aca="false">IF($F38="","",$F38-AsOf)</f>
        <v/>
      </c>
      <c r="I38" s="16" t="str">
        <f aca="false">IF(AND($A38="",$B38="",$C38="",$D38="",$E38=""),"",TRIM(IF($A38="","Name missing. ","")&amp;IF($B38="","Site missing. ","")&amp;IF($D38="","Last service missing. ",IF(NOT(ISNUMBER($D38)),"Last service isn't a date. ",IF(OR($D38&lt;18264,$D38&lt;&gt;INT($D38)),"Last service isn't a valid date. ",IF($D38&gt;AsOf,"Last service is after the as-of date. ",""))))&amp;IF($E38="","Interval missing.",IF(NOT(ISNUMBER($E38)),"Interval must be a number.",IF($E38&lt;&gt;INT($E38),"Interval must be whole months.",IF(OR($E38&lt;1,$E38&gt;240),"Interval must be 1-240 months.",""))))))</f>
        <v/>
      </c>
      <c r="J38" s="17" t="str">
        <f aca="false">IF(AND($A38="",$B38="",$C38="",$D38="",$E38=""),"",IF('Due List'!$B$4="Check details",IF($G38="Check details",ROW(),""),IF('Due List'!$B$4="All records",IF($G38="Check details",ROW()/100000,$F38+ROW()/100000),IF(OR($G38="Overdue",$G38="Due today",$G38="Due in next 30 days"),$F38+ROW()/100000,""))))</f>
        <v/>
      </c>
    </row>
    <row r="39" customFormat="false" ht="15" hidden="false" customHeight="false" outlineLevel="0" collapsed="false">
      <c r="A39" s="11"/>
      <c r="B39" s="11"/>
      <c r="C39" s="11"/>
      <c r="D39" s="12"/>
      <c r="E39" s="13"/>
      <c r="F39" s="14" t="str">
        <f aca="false">IF(OR(AND($A39="",$B39="",$C39="",$D39="",$E39=""),$I39&lt;&gt;""),"",EDATE($D39,$E39))</f>
        <v/>
      </c>
      <c r="G39" s="6" t="str">
        <f aca="false">IF(AND($A39="",$B39="",$C39="",$D39="",$E39=""),"",IF($I39&lt;&gt;"","Check details",IF($F39&lt;AsOf,"Overdue",IF($F39=AsOf,"Due today",IF($F39&lt;=AsOf+30,"Due in next 30 days","Later")))))</f>
        <v/>
      </c>
      <c r="H39" s="15" t="str">
        <f aca="false">IF($F39="","",$F39-AsOf)</f>
        <v/>
      </c>
      <c r="I39" s="16" t="str">
        <f aca="false">IF(AND($A39="",$B39="",$C39="",$D39="",$E39=""),"",TRIM(IF($A39="","Name missing. ","")&amp;IF($B39="","Site missing. ","")&amp;IF($D39="","Last service missing. ",IF(NOT(ISNUMBER($D39)),"Last service isn't a date. ",IF(OR($D39&lt;18264,$D39&lt;&gt;INT($D39)),"Last service isn't a valid date. ",IF($D39&gt;AsOf,"Last service is after the as-of date. ",""))))&amp;IF($E39="","Interval missing.",IF(NOT(ISNUMBER($E39)),"Interval must be a number.",IF($E39&lt;&gt;INT($E39),"Interval must be whole months.",IF(OR($E39&lt;1,$E39&gt;240),"Interval must be 1-240 months.",""))))))</f>
        <v/>
      </c>
      <c r="J39" s="17" t="str">
        <f aca="false">IF(AND($A39="",$B39="",$C39="",$D39="",$E39=""),"",IF('Due List'!$B$4="Check details",IF($G39="Check details",ROW(),""),IF('Due List'!$B$4="All records",IF($G39="Check details",ROW()/100000,$F39+ROW()/100000),IF(OR($G39="Overdue",$G39="Due today",$G39="Due in next 30 days"),$F39+ROW()/100000,""))))</f>
        <v/>
      </c>
    </row>
    <row r="40" customFormat="false" ht="15" hidden="false" customHeight="false" outlineLevel="0" collapsed="false">
      <c r="A40" s="11"/>
      <c r="B40" s="11"/>
      <c r="C40" s="11"/>
      <c r="D40" s="12"/>
      <c r="E40" s="13"/>
      <c r="F40" s="14" t="str">
        <f aca="false">IF(OR(AND($A40="",$B40="",$C40="",$D40="",$E40=""),$I40&lt;&gt;""),"",EDATE($D40,$E40))</f>
        <v/>
      </c>
      <c r="G40" s="6" t="str">
        <f aca="false">IF(AND($A40="",$B40="",$C40="",$D40="",$E40=""),"",IF($I40&lt;&gt;"","Check details",IF($F40&lt;AsOf,"Overdue",IF($F40=AsOf,"Due today",IF($F40&lt;=AsOf+30,"Due in next 30 days","Later")))))</f>
        <v/>
      </c>
      <c r="H40" s="15" t="str">
        <f aca="false">IF($F40="","",$F40-AsOf)</f>
        <v/>
      </c>
      <c r="I40" s="16" t="str">
        <f aca="false">IF(AND($A40="",$B40="",$C40="",$D40="",$E40=""),"",TRIM(IF($A40="","Name missing. ","")&amp;IF($B40="","Site missing. ","")&amp;IF($D40="","Last service missing. ",IF(NOT(ISNUMBER($D40)),"Last service isn't a date. ",IF(OR($D40&lt;18264,$D40&lt;&gt;INT($D40)),"Last service isn't a valid date. ",IF($D40&gt;AsOf,"Last service is after the as-of date. ",""))))&amp;IF($E40="","Interval missing.",IF(NOT(ISNUMBER($E40)),"Interval must be a number.",IF($E40&lt;&gt;INT($E40),"Interval must be whole months.",IF(OR($E40&lt;1,$E40&gt;240),"Interval must be 1-240 months.",""))))))</f>
        <v/>
      </c>
      <c r="J40" s="17" t="str">
        <f aca="false">IF(AND($A40="",$B40="",$C40="",$D40="",$E40=""),"",IF('Due List'!$B$4="Check details",IF($G40="Check details",ROW(),""),IF('Due List'!$B$4="All records",IF($G40="Check details",ROW()/100000,$F40+ROW()/100000),IF(OR($G40="Overdue",$G40="Due today",$G40="Due in next 30 days"),$F40+ROW()/100000,""))))</f>
        <v/>
      </c>
    </row>
    <row r="41" customFormat="false" ht="15" hidden="false" customHeight="false" outlineLevel="0" collapsed="false">
      <c r="A41" s="11"/>
      <c r="B41" s="11"/>
      <c r="C41" s="11"/>
      <c r="D41" s="12"/>
      <c r="E41" s="13"/>
      <c r="F41" s="14" t="str">
        <f aca="false">IF(OR(AND($A41="",$B41="",$C41="",$D41="",$E41=""),$I41&lt;&gt;""),"",EDATE($D41,$E41))</f>
        <v/>
      </c>
      <c r="G41" s="6" t="str">
        <f aca="false">IF(AND($A41="",$B41="",$C41="",$D41="",$E41=""),"",IF($I41&lt;&gt;"","Check details",IF($F41&lt;AsOf,"Overdue",IF($F41=AsOf,"Due today",IF($F41&lt;=AsOf+30,"Due in next 30 days","Later")))))</f>
        <v/>
      </c>
      <c r="H41" s="15" t="str">
        <f aca="false">IF($F41="","",$F41-AsOf)</f>
        <v/>
      </c>
      <c r="I41" s="16" t="str">
        <f aca="false">IF(AND($A41="",$B41="",$C41="",$D41="",$E41=""),"",TRIM(IF($A41="","Name missing. ","")&amp;IF($B41="","Site missing. ","")&amp;IF($D41="","Last service missing. ",IF(NOT(ISNUMBER($D41)),"Last service isn't a date. ",IF(OR($D41&lt;18264,$D41&lt;&gt;INT($D41)),"Last service isn't a valid date. ",IF($D41&gt;AsOf,"Last service is after the as-of date. ",""))))&amp;IF($E41="","Interval missing.",IF(NOT(ISNUMBER($E41)),"Interval must be a number.",IF($E41&lt;&gt;INT($E41),"Interval must be whole months.",IF(OR($E41&lt;1,$E41&gt;240),"Interval must be 1-240 months.",""))))))</f>
        <v/>
      </c>
      <c r="J41" s="17" t="str">
        <f aca="false">IF(AND($A41="",$B41="",$C41="",$D41="",$E41=""),"",IF('Due List'!$B$4="Check details",IF($G41="Check details",ROW(),""),IF('Due List'!$B$4="All records",IF($G41="Check details",ROW()/100000,$F41+ROW()/100000),IF(OR($G41="Overdue",$G41="Due today",$G41="Due in next 30 days"),$F41+ROW()/100000,""))))</f>
        <v/>
      </c>
    </row>
    <row r="42" customFormat="false" ht="15" hidden="false" customHeight="false" outlineLevel="0" collapsed="false">
      <c r="A42" s="11"/>
      <c r="B42" s="11"/>
      <c r="C42" s="11"/>
      <c r="D42" s="12"/>
      <c r="E42" s="13"/>
      <c r="F42" s="14" t="str">
        <f aca="false">IF(OR(AND($A42="",$B42="",$C42="",$D42="",$E42=""),$I42&lt;&gt;""),"",EDATE($D42,$E42))</f>
        <v/>
      </c>
      <c r="G42" s="6" t="str">
        <f aca="false">IF(AND($A42="",$B42="",$C42="",$D42="",$E42=""),"",IF($I42&lt;&gt;"","Check details",IF($F42&lt;AsOf,"Overdue",IF($F42=AsOf,"Due today",IF($F42&lt;=AsOf+30,"Due in next 30 days","Later")))))</f>
        <v/>
      </c>
      <c r="H42" s="15" t="str">
        <f aca="false">IF($F42="","",$F42-AsOf)</f>
        <v/>
      </c>
      <c r="I42" s="16" t="str">
        <f aca="false">IF(AND($A42="",$B42="",$C42="",$D42="",$E42=""),"",TRIM(IF($A42="","Name missing. ","")&amp;IF($B42="","Site missing. ","")&amp;IF($D42="","Last service missing. ",IF(NOT(ISNUMBER($D42)),"Last service isn't a date. ",IF(OR($D42&lt;18264,$D42&lt;&gt;INT($D42)),"Last service isn't a valid date. ",IF($D42&gt;AsOf,"Last service is after the as-of date. ",""))))&amp;IF($E42="","Interval missing.",IF(NOT(ISNUMBER($E42)),"Interval must be a number.",IF($E42&lt;&gt;INT($E42),"Interval must be whole months.",IF(OR($E42&lt;1,$E42&gt;240),"Interval must be 1-240 months.",""))))))</f>
        <v/>
      </c>
      <c r="J42" s="17" t="str">
        <f aca="false">IF(AND($A42="",$B42="",$C42="",$D42="",$E42=""),"",IF('Due List'!$B$4="Check details",IF($G42="Check details",ROW(),""),IF('Due List'!$B$4="All records",IF($G42="Check details",ROW()/100000,$F42+ROW()/100000),IF(OR($G42="Overdue",$G42="Due today",$G42="Due in next 30 days"),$F42+ROW()/100000,""))))</f>
        <v/>
      </c>
    </row>
    <row r="43" customFormat="false" ht="15" hidden="false" customHeight="false" outlineLevel="0" collapsed="false">
      <c r="A43" s="11"/>
      <c r="B43" s="11"/>
      <c r="C43" s="11"/>
      <c r="D43" s="12"/>
      <c r="E43" s="13"/>
      <c r="F43" s="14" t="str">
        <f aca="false">IF(OR(AND($A43="",$B43="",$C43="",$D43="",$E43=""),$I43&lt;&gt;""),"",EDATE($D43,$E43))</f>
        <v/>
      </c>
      <c r="G43" s="6" t="str">
        <f aca="false">IF(AND($A43="",$B43="",$C43="",$D43="",$E43=""),"",IF($I43&lt;&gt;"","Check details",IF($F43&lt;AsOf,"Overdue",IF($F43=AsOf,"Due today",IF($F43&lt;=AsOf+30,"Due in next 30 days","Later")))))</f>
        <v/>
      </c>
      <c r="H43" s="15" t="str">
        <f aca="false">IF($F43="","",$F43-AsOf)</f>
        <v/>
      </c>
      <c r="I43" s="16" t="str">
        <f aca="false">IF(AND($A43="",$B43="",$C43="",$D43="",$E43=""),"",TRIM(IF($A43="","Name missing. ","")&amp;IF($B43="","Site missing. ","")&amp;IF($D43="","Last service missing. ",IF(NOT(ISNUMBER($D43)),"Last service isn't a date. ",IF(OR($D43&lt;18264,$D43&lt;&gt;INT($D43)),"Last service isn't a valid date. ",IF($D43&gt;AsOf,"Last service is after the as-of date. ",""))))&amp;IF($E43="","Interval missing.",IF(NOT(ISNUMBER($E43)),"Interval must be a number.",IF($E43&lt;&gt;INT($E43),"Interval must be whole months.",IF(OR($E43&lt;1,$E43&gt;240),"Interval must be 1-240 months.",""))))))</f>
        <v/>
      </c>
      <c r="J43" s="17" t="str">
        <f aca="false">IF(AND($A43="",$B43="",$C43="",$D43="",$E43=""),"",IF('Due List'!$B$4="Check details",IF($G43="Check details",ROW(),""),IF('Due List'!$B$4="All records",IF($G43="Check details",ROW()/100000,$F43+ROW()/100000),IF(OR($G43="Overdue",$G43="Due today",$G43="Due in next 30 days"),$F43+ROW()/100000,""))))</f>
        <v/>
      </c>
    </row>
    <row r="44" customFormat="false" ht="15" hidden="false" customHeight="false" outlineLevel="0" collapsed="false">
      <c r="A44" s="11"/>
      <c r="B44" s="11"/>
      <c r="C44" s="11"/>
      <c r="D44" s="12"/>
      <c r="E44" s="13"/>
      <c r="F44" s="14" t="str">
        <f aca="false">IF(OR(AND($A44="",$B44="",$C44="",$D44="",$E44=""),$I44&lt;&gt;""),"",EDATE($D44,$E44))</f>
        <v/>
      </c>
      <c r="G44" s="6" t="str">
        <f aca="false">IF(AND($A44="",$B44="",$C44="",$D44="",$E44=""),"",IF($I44&lt;&gt;"","Check details",IF($F44&lt;AsOf,"Overdue",IF($F44=AsOf,"Due today",IF($F44&lt;=AsOf+30,"Due in next 30 days","Later")))))</f>
        <v/>
      </c>
      <c r="H44" s="15" t="str">
        <f aca="false">IF($F44="","",$F44-AsOf)</f>
        <v/>
      </c>
      <c r="I44" s="16" t="str">
        <f aca="false">IF(AND($A44="",$B44="",$C44="",$D44="",$E44=""),"",TRIM(IF($A44="","Name missing. ","")&amp;IF($B44="","Site missing. ","")&amp;IF($D44="","Last service missing. ",IF(NOT(ISNUMBER($D44)),"Last service isn't a date. ",IF(OR($D44&lt;18264,$D44&lt;&gt;INT($D44)),"Last service isn't a valid date. ",IF($D44&gt;AsOf,"Last service is after the as-of date. ",""))))&amp;IF($E44="","Interval missing.",IF(NOT(ISNUMBER($E44)),"Interval must be a number.",IF($E44&lt;&gt;INT($E44),"Interval must be whole months.",IF(OR($E44&lt;1,$E44&gt;240),"Interval must be 1-240 months.",""))))))</f>
        <v/>
      </c>
      <c r="J44" s="17" t="str">
        <f aca="false">IF(AND($A44="",$B44="",$C44="",$D44="",$E44=""),"",IF('Due List'!$B$4="Check details",IF($G44="Check details",ROW(),""),IF('Due List'!$B$4="All records",IF($G44="Check details",ROW()/100000,$F44+ROW()/100000),IF(OR($G44="Overdue",$G44="Due today",$G44="Due in next 30 days"),$F44+ROW()/100000,""))))</f>
        <v/>
      </c>
    </row>
    <row r="45" customFormat="false" ht="15" hidden="false" customHeight="false" outlineLevel="0" collapsed="false">
      <c r="A45" s="11"/>
      <c r="B45" s="11"/>
      <c r="C45" s="11"/>
      <c r="D45" s="12"/>
      <c r="E45" s="13"/>
      <c r="F45" s="14" t="str">
        <f aca="false">IF(OR(AND($A45="",$B45="",$C45="",$D45="",$E45=""),$I45&lt;&gt;""),"",EDATE($D45,$E45))</f>
        <v/>
      </c>
      <c r="G45" s="6" t="str">
        <f aca="false">IF(AND($A45="",$B45="",$C45="",$D45="",$E45=""),"",IF($I45&lt;&gt;"","Check details",IF($F45&lt;AsOf,"Overdue",IF($F45=AsOf,"Due today",IF($F45&lt;=AsOf+30,"Due in next 30 days","Later")))))</f>
        <v/>
      </c>
      <c r="H45" s="15" t="str">
        <f aca="false">IF($F45="","",$F45-AsOf)</f>
        <v/>
      </c>
      <c r="I45" s="16" t="str">
        <f aca="false">IF(AND($A45="",$B45="",$C45="",$D45="",$E45=""),"",TRIM(IF($A45="","Name missing. ","")&amp;IF($B45="","Site missing. ","")&amp;IF($D45="","Last service missing. ",IF(NOT(ISNUMBER($D45)),"Last service isn't a date. ",IF(OR($D45&lt;18264,$D45&lt;&gt;INT($D45)),"Last service isn't a valid date. ",IF($D45&gt;AsOf,"Last service is after the as-of date. ",""))))&amp;IF($E45="","Interval missing.",IF(NOT(ISNUMBER($E45)),"Interval must be a number.",IF($E45&lt;&gt;INT($E45),"Interval must be whole months.",IF(OR($E45&lt;1,$E45&gt;240),"Interval must be 1-240 months.",""))))))</f>
        <v/>
      </c>
      <c r="J45" s="17" t="str">
        <f aca="false">IF(AND($A45="",$B45="",$C45="",$D45="",$E45=""),"",IF('Due List'!$B$4="Check details",IF($G45="Check details",ROW(),""),IF('Due List'!$B$4="All records",IF($G45="Check details",ROW()/100000,$F45+ROW()/100000),IF(OR($G45="Overdue",$G45="Due today",$G45="Due in next 30 days"),$F45+ROW()/100000,""))))</f>
        <v/>
      </c>
    </row>
    <row r="46" customFormat="false" ht="15" hidden="false" customHeight="false" outlineLevel="0" collapsed="false">
      <c r="A46" s="11"/>
      <c r="B46" s="11"/>
      <c r="C46" s="11"/>
      <c r="D46" s="12"/>
      <c r="E46" s="13"/>
      <c r="F46" s="14" t="str">
        <f aca="false">IF(OR(AND($A46="",$B46="",$C46="",$D46="",$E46=""),$I46&lt;&gt;""),"",EDATE($D46,$E46))</f>
        <v/>
      </c>
      <c r="G46" s="6" t="str">
        <f aca="false">IF(AND($A46="",$B46="",$C46="",$D46="",$E46=""),"",IF($I46&lt;&gt;"","Check details",IF($F46&lt;AsOf,"Overdue",IF($F46=AsOf,"Due today",IF($F46&lt;=AsOf+30,"Due in next 30 days","Later")))))</f>
        <v/>
      </c>
      <c r="H46" s="15" t="str">
        <f aca="false">IF($F46="","",$F46-AsOf)</f>
        <v/>
      </c>
      <c r="I46" s="16" t="str">
        <f aca="false">IF(AND($A46="",$B46="",$C46="",$D46="",$E46=""),"",TRIM(IF($A46="","Name missing. ","")&amp;IF($B46="","Site missing. ","")&amp;IF($D46="","Last service missing. ",IF(NOT(ISNUMBER($D46)),"Last service isn't a date. ",IF(OR($D46&lt;18264,$D46&lt;&gt;INT($D46)),"Last service isn't a valid date. ",IF($D46&gt;AsOf,"Last service is after the as-of date. ",""))))&amp;IF($E46="","Interval missing.",IF(NOT(ISNUMBER($E46)),"Interval must be a number.",IF($E46&lt;&gt;INT($E46),"Interval must be whole months.",IF(OR($E46&lt;1,$E46&gt;240),"Interval must be 1-240 months.",""))))))</f>
        <v/>
      </c>
      <c r="J46" s="17" t="str">
        <f aca="false">IF(AND($A46="",$B46="",$C46="",$D46="",$E46=""),"",IF('Due List'!$B$4="Check details",IF($G46="Check details",ROW(),""),IF('Due List'!$B$4="All records",IF($G46="Check details",ROW()/100000,$F46+ROW()/100000),IF(OR($G46="Overdue",$G46="Due today",$G46="Due in next 30 days"),$F46+ROW()/100000,""))))</f>
        <v/>
      </c>
    </row>
    <row r="47" customFormat="false" ht="15" hidden="false" customHeight="false" outlineLevel="0" collapsed="false">
      <c r="A47" s="11"/>
      <c r="B47" s="11"/>
      <c r="C47" s="11"/>
      <c r="D47" s="12"/>
      <c r="E47" s="13"/>
      <c r="F47" s="14" t="str">
        <f aca="false">IF(OR(AND($A47="",$B47="",$C47="",$D47="",$E47=""),$I47&lt;&gt;""),"",EDATE($D47,$E47))</f>
        <v/>
      </c>
      <c r="G47" s="6" t="str">
        <f aca="false">IF(AND($A47="",$B47="",$C47="",$D47="",$E47=""),"",IF($I47&lt;&gt;"","Check details",IF($F47&lt;AsOf,"Overdue",IF($F47=AsOf,"Due today",IF($F47&lt;=AsOf+30,"Due in next 30 days","Later")))))</f>
        <v/>
      </c>
      <c r="H47" s="15" t="str">
        <f aca="false">IF($F47="","",$F47-AsOf)</f>
        <v/>
      </c>
      <c r="I47" s="16" t="str">
        <f aca="false">IF(AND($A47="",$B47="",$C47="",$D47="",$E47=""),"",TRIM(IF($A47="","Name missing. ","")&amp;IF($B47="","Site missing. ","")&amp;IF($D47="","Last service missing. ",IF(NOT(ISNUMBER($D47)),"Last service isn't a date. ",IF(OR($D47&lt;18264,$D47&lt;&gt;INT($D47)),"Last service isn't a valid date. ",IF($D47&gt;AsOf,"Last service is after the as-of date. ",""))))&amp;IF($E47="","Interval missing.",IF(NOT(ISNUMBER($E47)),"Interval must be a number.",IF($E47&lt;&gt;INT($E47),"Interval must be whole months.",IF(OR($E47&lt;1,$E47&gt;240),"Interval must be 1-240 months.",""))))))</f>
        <v/>
      </c>
      <c r="J47" s="17" t="str">
        <f aca="false">IF(AND($A47="",$B47="",$C47="",$D47="",$E47=""),"",IF('Due List'!$B$4="Check details",IF($G47="Check details",ROW(),""),IF('Due List'!$B$4="All records",IF($G47="Check details",ROW()/100000,$F47+ROW()/100000),IF(OR($G47="Overdue",$G47="Due today",$G47="Due in next 30 days"),$F47+ROW()/100000,""))))</f>
        <v/>
      </c>
    </row>
    <row r="48" customFormat="false" ht="15" hidden="false" customHeight="false" outlineLevel="0" collapsed="false">
      <c r="A48" s="11"/>
      <c r="B48" s="11"/>
      <c r="C48" s="11"/>
      <c r="D48" s="12"/>
      <c r="E48" s="13"/>
      <c r="F48" s="14" t="str">
        <f aca="false">IF(OR(AND($A48="",$B48="",$C48="",$D48="",$E48=""),$I48&lt;&gt;""),"",EDATE($D48,$E48))</f>
        <v/>
      </c>
      <c r="G48" s="6" t="str">
        <f aca="false">IF(AND($A48="",$B48="",$C48="",$D48="",$E48=""),"",IF($I48&lt;&gt;"","Check details",IF($F48&lt;AsOf,"Overdue",IF($F48=AsOf,"Due today",IF($F48&lt;=AsOf+30,"Due in next 30 days","Later")))))</f>
        <v/>
      </c>
      <c r="H48" s="15" t="str">
        <f aca="false">IF($F48="","",$F48-AsOf)</f>
        <v/>
      </c>
      <c r="I48" s="16" t="str">
        <f aca="false">IF(AND($A48="",$B48="",$C48="",$D48="",$E48=""),"",TRIM(IF($A48="","Name missing. ","")&amp;IF($B48="","Site missing. ","")&amp;IF($D48="","Last service missing. ",IF(NOT(ISNUMBER($D48)),"Last service isn't a date. ",IF(OR($D48&lt;18264,$D48&lt;&gt;INT($D48)),"Last service isn't a valid date. ",IF($D48&gt;AsOf,"Last service is after the as-of date. ",""))))&amp;IF($E48="","Interval missing.",IF(NOT(ISNUMBER($E48)),"Interval must be a number.",IF($E48&lt;&gt;INT($E48),"Interval must be whole months.",IF(OR($E48&lt;1,$E48&gt;240),"Interval must be 1-240 months.",""))))))</f>
        <v/>
      </c>
      <c r="J48" s="17" t="str">
        <f aca="false">IF(AND($A48="",$B48="",$C48="",$D48="",$E48=""),"",IF('Due List'!$B$4="Check details",IF($G48="Check details",ROW(),""),IF('Due List'!$B$4="All records",IF($G48="Check details",ROW()/100000,$F48+ROW()/100000),IF(OR($G48="Overdue",$G48="Due today",$G48="Due in next 30 days"),$F48+ROW()/100000,""))))</f>
        <v/>
      </c>
    </row>
    <row r="49" customFormat="false" ht="15" hidden="false" customHeight="false" outlineLevel="0" collapsed="false">
      <c r="A49" s="11"/>
      <c r="B49" s="11"/>
      <c r="C49" s="11"/>
      <c r="D49" s="12"/>
      <c r="E49" s="13"/>
      <c r="F49" s="14" t="str">
        <f aca="false">IF(OR(AND($A49="",$B49="",$C49="",$D49="",$E49=""),$I49&lt;&gt;""),"",EDATE($D49,$E49))</f>
        <v/>
      </c>
      <c r="G49" s="6" t="str">
        <f aca="false">IF(AND($A49="",$B49="",$C49="",$D49="",$E49=""),"",IF($I49&lt;&gt;"","Check details",IF($F49&lt;AsOf,"Overdue",IF($F49=AsOf,"Due today",IF($F49&lt;=AsOf+30,"Due in next 30 days","Later")))))</f>
        <v/>
      </c>
      <c r="H49" s="15" t="str">
        <f aca="false">IF($F49="","",$F49-AsOf)</f>
        <v/>
      </c>
      <c r="I49" s="16" t="str">
        <f aca="false">IF(AND($A49="",$B49="",$C49="",$D49="",$E49=""),"",TRIM(IF($A49="","Name missing. ","")&amp;IF($B49="","Site missing. ","")&amp;IF($D49="","Last service missing. ",IF(NOT(ISNUMBER($D49)),"Last service isn't a date. ",IF(OR($D49&lt;18264,$D49&lt;&gt;INT($D49)),"Last service isn't a valid date. ",IF($D49&gt;AsOf,"Last service is after the as-of date. ",""))))&amp;IF($E49="","Interval missing.",IF(NOT(ISNUMBER($E49)),"Interval must be a number.",IF($E49&lt;&gt;INT($E49),"Interval must be whole months.",IF(OR($E49&lt;1,$E49&gt;240),"Interval must be 1-240 months.",""))))))</f>
        <v/>
      </c>
      <c r="J49" s="17" t="str">
        <f aca="false">IF(AND($A49="",$B49="",$C49="",$D49="",$E49=""),"",IF('Due List'!$B$4="Check details",IF($G49="Check details",ROW(),""),IF('Due List'!$B$4="All records",IF($G49="Check details",ROW()/100000,$F49+ROW()/100000),IF(OR($G49="Overdue",$G49="Due today",$G49="Due in next 30 days"),$F49+ROW()/100000,""))))</f>
        <v/>
      </c>
    </row>
    <row r="50" customFormat="false" ht="15" hidden="false" customHeight="false" outlineLevel="0" collapsed="false">
      <c r="A50" s="11"/>
      <c r="B50" s="11"/>
      <c r="C50" s="11"/>
      <c r="D50" s="12"/>
      <c r="E50" s="13"/>
      <c r="F50" s="14" t="str">
        <f aca="false">IF(OR(AND($A50="",$B50="",$C50="",$D50="",$E50=""),$I50&lt;&gt;""),"",EDATE($D50,$E50))</f>
        <v/>
      </c>
      <c r="G50" s="6" t="str">
        <f aca="false">IF(AND($A50="",$B50="",$C50="",$D50="",$E50=""),"",IF($I50&lt;&gt;"","Check details",IF($F50&lt;AsOf,"Overdue",IF($F50=AsOf,"Due today",IF($F50&lt;=AsOf+30,"Due in next 30 days","Later")))))</f>
        <v/>
      </c>
      <c r="H50" s="15" t="str">
        <f aca="false">IF($F50="","",$F50-AsOf)</f>
        <v/>
      </c>
      <c r="I50" s="16" t="str">
        <f aca="false">IF(AND($A50="",$B50="",$C50="",$D50="",$E50=""),"",TRIM(IF($A50="","Name missing. ","")&amp;IF($B50="","Site missing. ","")&amp;IF($D50="","Last service missing. ",IF(NOT(ISNUMBER($D50)),"Last service isn't a date. ",IF(OR($D50&lt;18264,$D50&lt;&gt;INT($D50)),"Last service isn't a valid date. ",IF($D50&gt;AsOf,"Last service is after the as-of date. ",""))))&amp;IF($E50="","Interval missing.",IF(NOT(ISNUMBER($E50)),"Interval must be a number.",IF($E50&lt;&gt;INT($E50),"Interval must be whole months.",IF(OR($E50&lt;1,$E50&gt;240),"Interval must be 1-240 months.",""))))))</f>
        <v/>
      </c>
      <c r="J50" s="17" t="str">
        <f aca="false">IF(AND($A50="",$B50="",$C50="",$D50="",$E50=""),"",IF('Due List'!$B$4="Check details",IF($G50="Check details",ROW(),""),IF('Due List'!$B$4="All records",IF($G50="Check details",ROW()/100000,$F50+ROW()/100000),IF(OR($G50="Overdue",$G50="Due today",$G50="Due in next 30 days"),$F50+ROW()/100000,""))))</f>
        <v/>
      </c>
    </row>
    <row r="51" customFormat="false" ht="15" hidden="false" customHeight="false" outlineLevel="0" collapsed="false">
      <c r="A51" s="11"/>
      <c r="B51" s="11"/>
      <c r="C51" s="11"/>
      <c r="D51" s="12"/>
      <c r="E51" s="13"/>
      <c r="F51" s="14" t="str">
        <f aca="false">IF(OR(AND($A51="",$B51="",$C51="",$D51="",$E51=""),$I51&lt;&gt;""),"",EDATE($D51,$E51))</f>
        <v/>
      </c>
      <c r="G51" s="6" t="str">
        <f aca="false">IF(AND($A51="",$B51="",$C51="",$D51="",$E51=""),"",IF($I51&lt;&gt;"","Check details",IF($F51&lt;AsOf,"Overdue",IF($F51=AsOf,"Due today",IF($F51&lt;=AsOf+30,"Due in next 30 days","Later")))))</f>
        <v/>
      </c>
      <c r="H51" s="15" t="str">
        <f aca="false">IF($F51="","",$F51-AsOf)</f>
        <v/>
      </c>
      <c r="I51" s="16" t="str">
        <f aca="false">IF(AND($A51="",$B51="",$C51="",$D51="",$E51=""),"",TRIM(IF($A51="","Name missing. ","")&amp;IF($B51="","Site missing. ","")&amp;IF($D51="","Last service missing. ",IF(NOT(ISNUMBER($D51)),"Last service isn't a date. ",IF(OR($D51&lt;18264,$D51&lt;&gt;INT($D51)),"Last service isn't a valid date. ",IF($D51&gt;AsOf,"Last service is after the as-of date. ",""))))&amp;IF($E51="","Interval missing.",IF(NOT(ISNUMBER($E51)),"Interval must be a number.",IF($E51&lt;&gt;INT($E51),"Interval must be whole months.",IF(OR($E51&lt;1,$E51&gt;240),"Interval must be 1-240 months.",""))))))</f>
        <v/>
      </c>
      <c r="J51" s="17" t="str">
        <f aca="false">IF(AND($A51="",$B51="",$C51="",$D51="",$E51=""),"",IF('Due List'!$B$4="Check details",IF($G51="Check details",ROW(),""),IF('Due List'!$B$4="All records",IF($G51="Check details",ROW()/100000,$F51+ROW()/100000),IF(OR($G51="Overdue",$G51="Due today",$G51="Due in next 30 days"),$F51+ROW()/100000,""))))</f>
        <v/>
      </c>
    </row>
    <row r="52" customFormat="false" ht="15" hidden="false" customHeight="false" outlineLevel="0" collapsed="false">
      <c r="A52" s="11"/>
      <c r="B52" s="11"/>
      <c r="C52" s="11"/>
      <c r="D52" s="12"/>
      <c r="E52" s="13"/>
      <c r="F52" s="14" t="str">
        <f aca="false">IF(OR(AND($A52="",$B52="",$C52="",$D52="",$E52=""),$I52&lt;&gt;""),"",EDATE($D52,$E52))</f>
        <v/>
      </c>
      <c r="G52" s="6" t="str">
        <f aca="false">IF(AND($A52="",$B52="",$C52="",$D52="",$E52=""),"",IF($I52&lt;&gt;"","Check details",IF($F52&lt;AsOf,"Overdue",IF($F52=AsOf,"Due today",IF($F52&lt;=AsOf+30,"Due in next 30 days","Later")))))</f>
        <v/>
      </c>
      <c r="H52" s="15" t="str">
        <f aca="false">IF($F52="","",$F52-AsOf)</f>
        <v/>
      </c>
      <c r="I52" s="16" t="str">
        <f aca="false">IF(AND($A52="",$B52="",$C52="",$D52="",$E52=""),"",TRIM(IF($A52="","Name missing. ","")&amp;IF($B52="","Site missing. ","")&amp;IF($D52="","Last service missing. ",IF(NOT(ISNUMBER($D52)),"Last service isn't a date. ",IF(OR($D52&lt;18264,$D52&lt;&gt;INT($D52)),"Last service isn't a valid date. ",IF($D52&gt;AsOf,"Last service is after the as-of date. ",""))))&amp;IF($E52="","Interval missing.",IF(NOT(ISNUMBER($E52)),"Interval must be a number.",IF($E52&lt;&gt;INT($E52),"Interval must be whole months.",IF(OR($E52&lt;1,$E52&gt;240),"Interval must be 1-240 months.",""))))))</f>
        <v/>
      </c>
      <c r="J52" s="17" t="str">
        <f aca="false">IF(AND($A52="",$B52="",$C52="",$D52="",$E52=""),"",IF('Due List'!$B$4="Check details",IF($G52="Check details",ROW(),""),IF('Due List'!$B$4="All records",IF($G52="Check details",ROW()/100000,$F52+ROW()/100000),IF(OR($G52="Overdue",$G52="Due today",$G52="Due in next 30 days"),$F52+ROW()/100000,""))))</f>
        <v/>
      </c>
    </row>
    <row r="53" customFormat="false" ht="15" hidden="false" customHeight="false" outlineLevel="0" collapsed="false">
      <c r="A53" s="11"/>
      <c r="B53" s="11"/>
      <c r="C53" s="11"/>
      <c r="D53" s="12"/>
      <c r="E53" s="13"/>
      <c r="F53" s="14" t="str">
        <f aca="false">IF(OR(AND($A53="",$B53="",$C53="",$D53="",$E53=""),$I53&lt;&gt;""),"",EDATE($D53,$E53))</f>
        <v/>
      </c>
      <c r="G53" s="6" t="str">
        <f aca="false">IF(AND($A53="",$B53="",$C53="",$D53="",$E53=""),"",IF($I53&lt;&gt;"","Check details",IF($F53&lt;AsOf,"Overdue",IF($F53=AsOf,"Due today",IF($F53&lt;=AsOf+30,"Due in next 30 days","Later")))))</f>
        <v/>
      </c>
      <c r="H53" s="15" t="str">
        <f aca="false">IF($F53="","",$F53-AsOf)</f>
        <v/>
      </c>
      <c r="I53" s="16" t="str">
        <f aca="false">IF(AND($A53="",$B53="",$C53="",$D53="",$E53=""),"",TRIM(IF($A53="","Name missing. ","")&amp;IF($B53="","Site missing. ","")&amp;IF($D53="","Last service missing. ",IF(NOT(ISNUMBER($D53)),"Last service isn't a date. ",IF(OR($D53&lt;18264,$D53&lt;&gt;INT($D53)),"Last service isn't a valid date. ",IF($D53&gt;AsOf,"Last service is after the as-of date. ",""))))&amp;IF($E53="","Interval missing.",IF(NOT(ISNUMBER($E53)),"Interval must be a number.",IF($E53&lt;&gt;INT($E53),"Interval must be whole months.",IF(OR($E53&lt;1,$E53&gt;240),"Interval must be 1-240 months.",""))))))</f>
        <v/>
      </c>
      <c r="J53" s="17" t="str">
        <f aca="false">IF(AND($A53="",$B53="",$C53="",$D53="",$E53=""),"",IF('Due List'!$B$4="Check details",IF($G53="Check details",ROW(),""),IF('Due List'!$B$4="All records",IF($G53="Check details",ROW()/100000,$F53+ROW()/100000),IF(OR($G53="Overdue",$G53="Due today",$G53="Due in next 30 days"),$F53+ROW()/100000,""))))</f>
        <v/>
      </c>
    </row>
    <row r="54" customFormat="false" ht="15" hidden="false" customHeight="false" outlineLevel="0" collapsed="false">
      <c r="A54" s="11"/>
      <c r="B54" s="11"/>
      <c r="C54" s="11"/>
      <c r="D54" s="12"/>
      <c r="E54" s="13"/>
      <c r="F54" s="14" t="str">
        <f aca="false">IF(OR(AND($A54="",$B54="",$C54="",$D54="",$E54=""),$I54&lt;&gt;""),"",EDATE($D54,$E54))</f>
        <v/>
      </c>
      <c r="G54" s="6" t="str">
        <f aca="false">IF(AND($A54="",$B54="",$C54="",$D54="",$E54=""),"",IF($I54&lt;&gt;"","Check details",IF($F54&lt;AsOf,"Overdue",IF($F54=AsOf,"Due today",IF($F54&lt;=AsOf+30,"Due in next 30 days","Later")))))</f>
        <v/>
      </c>
      <c r="H54" s="15" t="str">
        <f aca="false">IF($F54="","",$F54-AsOf)</f>
        <v/>
      </c>
      <c r="I54" s="16" t="str">
        <f aca="false">IF(AND($A54="",$B54="",$C54="",$D54="",$E54=""),"",TRIM(IF($A54="","Name missing. ","")&amp;IF($B54="","Site missing. ","")&amp;IF($D54="","Last service missing. ",IF(NOT(ISNUMBER($D54)),"Last service isn't a date. ",IF(OR($D54&lt;18264,$D54&lt;&gt;INT($D54)),"Last service isn't a valid date. ",IF($D54&gt;AsOf,"Last service is after the as-of date. ",""))))&amp;IF($E54="","Interval missing.",IF(NOT(ISNUMBER($E54)),"Interval must be a number.",IF($E54&lt;&gt;INT($E54),"Interval must be whole months.",IF(OR($E54&lt;1,$E54&gt;240),"Interval must be 1-240 months.",""))))))</f>
        <v/>
      </c>
      <c r="J54" s="17" t="str">
        <f aca="false">IF(AND($A54="",$B54="",$C54="",$D54="",$E54=""),"",IF('Due List'!$B$4="Check details",IF($G54="Check details",ROW(),""),IF('Due List'!$B$4="All records",IF($G54="Check details",ROW()/100000,$F54+ROW()/100000),IF(OR($G54="Overdue",$G54="Due today",$G54="Due in next 30 days"),$F54+ROW()/100000,""))))</f>
        <v/>
      </c>
    </row>
    <row r="55" customFormat="false" ht="15" hidden="false" customHeight="false" outlineLevel="0" collapsed="false">
      <c r="A55" s="11"/>
      <c r="B55" s="11"/>
      <c r="C55" s="11"/>
      <c r="D55" s="12"/>
      <c r="E55" s="13"/>
      <c r="F55" s="14" t="str">
        <f aca="false">IF(OR(AND($A55="",$B55="",$C55="",$D55="",$E55=""),$I55&lt;&gt;""),"",EDATE($D55,$E55))</f>
        <v/>
      </c>
      <c r="G55" s="6" t="str">
        <f aca="false">IF(AND($A55="",$B55="",$C55="",$D55="",$E55=""),"",IF($I55&lt;&gt;"","Check details",IF($F55&lt;AsOf,"Overdue",IF($F55=AsOf,"Due today",IF($F55&lt;=AsOf+30,"Due in next 30 days","Later")))))</f>
        <v/>
      </c>
      <c r="H55" s="15" t="str">
        <f aca="false">IF($F55="","",$F55-AsOf)</f>
        <v/>
      </c>
      <c r="I55" s="16" t="str">
        <f aca="false">IF(AND($A55="",$B55="",$C55="",$D55="",$E55=""),"",TRIM(IF($A55="","Name missing. ","")&amp;IF($B55="","Site missing. ","")&amp;IF($D55="","Last service missing. ",IF(NOT(ISNUMBER($D55)),"Last service isn't a date. ",IF(OR($D55&lt;18264,$D55&lt;&gt;INT($D55)),"Last service isn't a valid date. ",IF($D55&gt;AsOf,"Last service is after the as-of date. ",""))))&amp;IF($E55="","Interval missing.",IF(NOT(ISNUMBER($E55)),"Interval must be a number.",IF($E55&lt;&gt;INT($E55),"Interval must be whole months.",IF(OR($E55&lt;1,$E55&gt;240),"Interval must be 1-240 months.",""))))))</f>
        <v/>
      </c>
      <c r="J55" s="17" t="str">
        <f aca="false">IF(AND($A55="",$B55="",$C55="",$D55="",$E55=""),"",IF('Due List'!$B$4="Check details",IF($G55="Check details",ROW(),""),IF('Due List'!$B$4="All records",IF($G55="Check details",ROW()/100000,$F55+ROW()/100000),IF(OR($G55="Overdue",$G55="Due today",$G55="Due in next 30 days"),$F55+ROW()/100000,""))))</f>
        <v/>
      </c>
    </row>
    <row r="56" customFormat="false" ht="15" hidden="false" customHeight="false" outlineLevel="0" collapsed="false">
      <c r="A56" s="11"/>
      <c r="B56" s="11"/>
      <c r="C56" s="11"/>
      <c r="D56" s="12"/>
      <c r="E56" s="13"/>
      <c r="F56" s="14" t="str">
        <f aca="false">IF(OR(AND($A56="",$B56="",$C56="",$D56="",$E56=""),$I56&lt;&gt;""),"",EDATE($D56,$E56))</f>
        <v/>
      </c>
      <c r="G56" s="6" t="str">
        <f aca="false">IF(AND($A56="",$B56="",$C56="",$D56="",$E56=""),"",IF($I56&lt;&gt;"","Check details",IF($F56&lt;AsOf,"Overdue",IF($F56=AsOf,"Due today",IF($F56&lt;=AsOf+30,"Due in next 30 days","Later")))))</f>
        <v/>
      </c>
      <c r="H56" s="15" t="str">
        <f aca="false">IF($F56="","",$F56-AsOf)</f>
        <v/>
      </c>
      <c r="I56" s="16" t="str">
        <f aca="false">IF(AND($A56="",$B56="",$C56="",$D56="",$E56=""),"",TRIM(IF($A56="","Name missing. ","")&amp;IF($B56="","Site missing. ","")&amp;IF($D56="","Last service missing. ",IF(NOT(ISNUMBER($D56)),"Last service isn't a date. ",IF(OR($D56&lt;18264,$D56&lt;&gt;INT($D56)),"Last service isn't a valid date. ",IF($D56&gt;AsOf,"Last service is after the as-of date. ",""))))&amp;IF($E56="","Interval missing.",IF(NOT(ISNUMBER($E56)),"Interval must be a number.",IF($E56&lt;&gt;INT($E56),"Interval must be whole months.",IF(OR($E56&lt;1,$E56&gt;240),"Interval must be 1-240 months.",""))))))</f>
        <v/>
      </c>
      <c r="J56" s="17" t="str">
        <f aca="false">IF(AND($A56="",$B56="",$C56="",$D56="",$E56=""),"",IF('Due List'!$B$4="Check details",IF($G56="Check details",ROW(),""),IF('Due List'!$B$4="All records",IF($G56="Check details",ROW()/100000,$F56+ROW()/100000),IF(OR($G56="Overdue",$G56="Due today",$G56="Due in next 30 days"),$F56+ROW()/100000,""))))</f>
        <v/>
      </c>
    </row>
    <row r="57" customFormat="false" ht="15" hidden="false" customHeight="false" outlineLevel="0" collapsed="false">
      <c r="A57" s="11"/>
      <c r="B57" s="11"/>
      <c r="C57" s="11"/>
      <c r="D57" s="12"/>
      <c r="E57" s="13"/>
      <c r="F57" s="14" t="str">
        <f aca="false">IF(OR(AND($A57="",$B57="",$C57="",$D57="",$E57=""),$I57&lt;&gt;""),"",EDATE($D57,$E57))</f>
        <v/>
      </c>
      <c r="G57" s="6" t="str">
        <f aca="false">IF(AND($A57="",$B57="",$C57="",$D57="",$E57=""),"",IF($I57&lt;&gt;"","Check details",IF($F57&lt;AsOf,"Overdue",IF($F57=AsOf,"Due today",IF($F57&lt;=AsOf+30,"Due in next 30 days","Later")))))</f>
        <v/>
      </c>
      <c r="H57" s="15" t="str">
        <f aca="false">IF($F57="","",$F57-AsOf)</f>
        <v/>
      </c>
      <c r="I57" s="16" t="str">
        <f aca="false">IF(AND($A57="",$B57="",$C57="",$D57="",$E57=""),"",TRIM(IF($A57="","Name missing. ","")&amp;IF($B57="","Site missing. ","")&amp;IF($D57="","Last service missing. ",IF(NOT(ISNUMBER($D57)),"Last service isn't a date. ",IF(OR($D57&lt;18264,$D57&lt;&gt;INT($D57)),"Last service isn't a valid date. ",IF($D57&gt;AsOf,"Last service is after the as-of date. ",""))))&amp;IF($E57="","Interval missing.",IF(NOT(ISNUMBER($E57)),"Interval must be a number.",IF($E57&lt;&gt;INT($E57),"Interval must be whole months.",IF(OR($E57&lt;1,$E57&gt;240),"Interval must be 1-240 months.",""))))))</f>
        <v/>
      </c>
      <c r="J57" s="17" t="str">
        <f aca="false">IF(AND($A57="",$B57="",$C57="",$D57="",$E57=""),"",IF('Due List'!$B$4="Check details",IF($G57="Check details",ROW(),""),IF('Due List'!$B$4="All records",IF($G57="Check details",ROW()/100000,$F57+ROW()/100000),IF(OR($G57="Overdue",$G57="Due today",$G57="Due in next 30 days"),$F57+ROW()/100000,""))))</f>
        <v/>
      </c>
    </row>
    <row r="58" customFormat="false" ht="15" hidden="false" customHeight="false" outlineLevel="0" collapsed="false">
      <c r="A58" s="11"/>
      <c r="B58" s="11"/>
      <c r="C58" s="11"/>
      <c r="D58" s="12"/>
      <c r="E58" s="13"/>
      <c r="F58" s="14" t="str">
        <f aca="false">IF(OR(AND($A58="",$B58="",$C58="",$D58="",$E58=""),$I58&lt;&gt;""),"",EDATE($D58,$E58))</f>
        <v/>
      </c>
      <c r="G58" s="6" t="str">
        <f aca="false">IF(AND($A58="",$B58="",$C58="",$D58="",$E58=""),"",IF($I58&lt;&gt;"","Check details",IF($F58&lt;AsOf,"Overdue",IF($F58=AsOf,"Due today",IF($F58&lt;=AsOf+30,"Due in next 30 days","Later")))))</f>
        <v/>
      </c>
      <c r="H58" s="15" t="str">
        <f aca="false">IF($F58="","",$F58-AsOf)</f>
        <v/>
      </c>
      <c r="I58" s="16" t="str">
        <f aca="false">IF(AND($A58="",$B58="",$C58="",$D58="",$E58=""),"",TRIM(IF($A58="","Name missing. ","")&amp;IF($B58="","Site missing. ","")&amp;IF($D58="","Last service missing. ",IF(NOT(ISNUMBER($D58)),"Last service isn't a date. ",IF(OR($D58&lt;18264,$D58&lt;&gt;INT($D58)),"Last service isn't a valid date. ",IF($D58&gt;AsOf,"Last service is after the as-of date. ",""))))&amp;IF($E58="","Interval missing.",IF(NOT(ISNUMBER($E58)),"Interval must be a number.",IF($E58&lt;&gt;INT($E58),"Interval must be whole months.",IF(OR($E58&lt;1,$E58&gt;240),"Interval must be 1-240 months.",""))))))</f>
        <v/>
      </c>
      <c r="J58" s="17" t="str">
        <f aca="false">IF(AND($A58="",$B58="",$C58="",$D58="",$E58=""),"",IF('Due List'!$B$4="Check details",IF($G58="Check details",ROW(),""),IF('Due List'!$B$4="All records",IF($G58="Check details",ROW()/100000,$F58+ROW()/100000),IF(OR($G58="Overdue",$G58="Due today",$G58="Due in next 30 days"),$F58+ROW()/100000,""))))</f>
        <v/>
      </c>
    </row>
    <row r="59" customFormat="false" ht="15" hidden="false" customHeight="false" outlineLevel="0" collapsed="false">
      <c r="A59" s="11"/>
      <c r="B59" s="11"/>
      <c r="C59" s="11"/>
      <c r="D59" s="12"/>
      <c r="E59" s="13"/>
      <c r="F59" s="14" t="str">
        <f aca="false">IF(OR(AND($A59="",$B59="",$C59="",$D59="",$E59=""),$I59&lt;&gt;""),"",EDATE($D59,$E59))</f>
        <v/>
      </c>
      <c r="G59" s="6" t="str">
        <f aca="false">IF(AND($A59="",$B59="",$C59="",$D59="",$E59=""),"",IF($I59&lt;&gt;"","Check details",IF($F59&lt;AsOf,"Overdue",IF($F59=AsOf,"Due today",IF($F59&lt;=AsOf+30,"Due in next 30 days","Later")))))</f>
        <v/>
      </c>
      <c r="H59" s="15" t="str">
        <f aca="false">IF($F59="","",$F59-AsOf)</f>
        <v/>
      </c>
      <c r="I59" s="16" t="str">
        <f aca="false">IF(AND($A59="",$B59="",$C59="",$D59="",$E59=""),"",TRIM(IF($A59="","Name missing. ","")&amp;IF($B59="","Site missing. ","")&amp;IF($D59="","Last service missing. ",IF(NOT(ISNUMBER($D59)),"Last service isn't a date. ",IF(OR($D59&lt;18264,$D59&lt;&gt;INT($D59)),"Last service isn't a valid date. ",IF($D59&gt;AsOf,"Last service is after the as-of date. ",""))))&amp;IF($E59="","Interval missing.",IF(NOT(ISNUMBER($E59)),"Interval must be a number.",IF($E59&lt;&gt;INT($E59),"Interval must be whole months.",IF(OR($E59&lt;1,$E59&gt;240),"Interval must be 1-240 months.",""))))))</f>
        <v/>
      </c>
      <c r="J59" s="17" t="str">
        <f aca="false">IF(AND($A59="",$B59="",$C59="",$D59="",$E59=""),"",IF('Due List'!$B$4="Check details",IF($G59="Check details",ROW(),""),IF('Due List'!$B$4="All records",IF($G59="Check details",ROW()/100000,$F59+ROW()/100000),IF(OR($G59="Overdue",$G59="Due today",$G59="Due in next 30 days"),$F59+ROW()/100000,""))))</f>
        <v/>
      </c>
    </row>
    <row r="60" customFormat="false" ht="15" hidden="false" customHeight="false" outlineLevel="0" collapsed="false">
      <c r="A60" s="11"/>
      <c r="B60" s="11"/>
      <c r="C60" s="11"/>
      <c r="D60" s="12"/>
      <c r="E60" s="13"/>
      <c r="F60" s="14" t="str">
        <f aca="false">IF(OR(AND($A60="",$B60="",$C60="",$D60="",$E60=""),$I60&lt;&gt;""),"",EDATE($D60,$E60))</f>
        <v/>
      </c>
      <c r="G60" s="6" t="str">
        <f aca="false">IF(AND($A60="",$B60="",$C60="",$D60="",$E60=""),"",IF($I60&lt;&gt;"","Check details",IF($F60&lt;AsOf,"Overdue",IF($F60=AsOf,"Due today",IF($F60&lt;=AsOf+30,"Due in next 30 days","Later")))))</f>
        <v/>
      </c>
      <c r="H60" s="15" t="str">
        <f aca="false">IF($F60="","",$F60-AsOf)</f>
        <v/>
      </c>
      <c r="I60" s="16" t="str">
        <f aca="false">IF(AND($A60="",$B60="",$C60="",$D60="",$E60=""),"",TRIM(IF($A60="","Name missing. ","")&amp;IF($B60="","Site missing. ","")&amp;IF($D60="","Last service missing. ",IF(NOT(ISNUMBER($D60)),"Last service isn't a date. ",IF(OR($D60&lt;18264,$D60&lt;&gt;INT($D60)),"Last service isn't a valid date. ",IF($D60&gt;AsOf,"Last service is after the as-of date. ",""))))&amp;IF($E60="","Interval missing.",IF(NOT(ISNUMBER($E60)),"Interval must be a number.",IF($E60&lt;&gt;INT($E60),"Interval must be whole months.",IF(OR($E60&lt;1,$E60&gt;240),"Interval must be 1-240 months.",""))))))</f>
        <v/>
      </c>
      <c r="J60" s="17" t="str">
        <f aca="false">IF(AND($A60="",$B60="",$C60="",$D60="",$E60=""),"",IF('Due List'!$B$4="Check details",IF($G60="Check details",ROW(),""),IF('Due List'!$B$4="All records",IF($G60="Check details",ROW()/100000,$F60+ROW()/100000),IF(OR($G60="Overdue",$G60="Due today",$G60="Due in next 30 days"),$F60+ROW()/100000,""))))</f>
        <v/>
      </c>
    </row>
    <row r="61" customFormat="false" ht="15" hidden="false" customHeight="false" outlineLevel="0" collapsed="false">
      <c r="A61" s="11"/>
      <c r="B61" s="11"/>
      <c r="C61" s="11"/>
      <c r="D61" s="12"/>
      <c r="E61" s="13"/>
      <c r="F61" s="14" t="str">
        <f aca="false">IF(OR(AND($A61="",$B61="",$C61="",$D61="",$E61=""),$I61&lt;&gt;""),"",EDATE($D61,$E61))</f>
        <v/>
      </c>
      <c r="G61" s="6" t="str">
        <f aca="false">IF(AND($A61="",$B61="",$C61="",$D61="",$E61=""),"",IF($I61&lt;&gt;"","Check details",IF($F61&lt;AsOf,"Overdue",IF($F61=AsOf,"Due today",IF($F61&lt;=AsOf+30,"Due in next 30 days","Later")))))</f>
        <v/>
      </c>
      <c r="H61" s="15" t="str">
        <f aca="false">IF($F61="","",$F61-AsOf)</f>
        <v/>
      </c>
      <c r="I61" s="16" t="str">
        <f aca="false">IF(AND($A61="",$B61="",$C61="",$D61="",$E61=""),"",TRIM(IF($A61="","Name missing. ","")&amp;IF($B61="","Site missing. ","")&amp;IF($D61="","Last service missing. ",IF(NOT(ISNUMBER($D61)),"Last service isn't a date. ",IF(OR($D61&lt;18264,$D61&lt;&gt;INT($D61)),"Last service isn't a valid date. ",IF($D61&gt;AsOf,"Last service is after the as-of date. ",""))))&amp;IF($E61="","Interval missing.",IF(NOT(ISNUMBER($E61)),"Interval must be a number.",IF($E61&lt;&gt;INT($E61),"Interval must be whole months.",IF(OR($E61&lt;1,$E61&gt;240),"Interval must be 1-240 months.",""))))))</f>
        <v/>
      </c>
      <c r="J61" s="17" t="str">
        <f aca="false">IF(AND($A61="",$B61="",$C61="",$D61="",$E61=""),"",IF('Due List'!$B$4="Check details",IF($G61="Check details",ROW(),""),IF('Due List'!$B$4="All records",IF($G61="Check details",ROW()/100000,$F61+ROW()/100000),IF(OR($G61="Overdue",$G61="Due today",$G61="Due in next 30 days"),$F61+ROW()/100000,""))))</f>
        <v/>
      </c>
    </row>
    <row r="62" customFormat="false" ht="15" hidden="false" customHeight="false" outlineLevel="0" collapsed="false">
      <c r="A62" s="11"/>
      <c r="B62" s="11"/>
      <c r="C62" s="11"/>
      <c r="D62" s="12"/>
      <c r="E62" s="13"/>
      <c r="F62" s="14" t="str">
        <f aca="false">IF(OR(AND($A62="",$B62="",$C62="",$D62="",$E62=""),$I62&lt;&gt;""),"",EDATE($D62,$E62))</f>
        <v/>
      </c>
      <c r="G62" s="6" t="str">
        <f aca="false">IF(AND($A62="",$B62="",$C62="",$D62="",$E62=""),"",IF($I62&lt;&gt;"","Check details",IF($F62&lt;AsOf,"Overdue",IF($F62=AsOf,"Due today",IF($F62&lt;=AsOf+30,"Due in next 30 days","Later")))))</f>
        <v/>
      </c>
      <c r="H62" s="15" t="str">
        <f aca="false">IF($F62="","",$F62-AsOf)</f>
        <v/>
      </c>
      <c r="I62" s="16" t="str">
        <f aca="false">IF(AND($A62="",$B62="",$C62="",$D62="",$E62=""),"",TRIM(IF($A62="","Name missing. ","")&amp;IF($B62="","Site missing. ","")&amp;IF($D62="","Last service missing. ",IF(NOT(ISNUMBER($D62)),"Last service isn't a date. ",IF(OR($D62&lt;18264,$D62&lt;&gt;INT($D62)),"Last service isn't a valid date. ",IF($D62&gt;AsOf,"Last service is after the as-of date. ",""))))&amp;IF($E62="","Interval missing.",IF(NOT(ISNUMBER($E62)),"Interval must be a number.",IF($E62&lt;&gt;INT($E62),"Interval must be whole months.",IF(OR($E62&lt;1,$E62&gt;240),"Interval must be 1-240 months.",""))))))</f>
        <v/>
      </c>
      <c r="J62" s="17" t="str">
        <f aca="false">IF(AND($A62="",$B62="",$C62="",$D62="",$E62=""),"",IF('Due List'!$B$4="Check details",IF($G62="Check details",ROW(),""),IF('Due List'!$B$4="All records",IF($G62="Check details",ROW()/100000,$F62+ROW()/100000),IF(OR($G62="Overdue",$G62="Due today",$G62="Due in next 30 days"),$F62+ROW()/100000,""))))</f>
        <v/>
      </c>
    </row>
    <row r="63" customFormat="false" ht="15" hidden="false" customHeight="false" outlineLevel="0" collapsed="false">
      <c r="A63" s="11"/>
      <c r="B63" s="11"/>
      <c r="C63" s="11"/>
      <c r="D63" s="12"/>
      <c r="E63" s="13"/>
      <c r="F63" s="14" t="str">
        <f aca="false">IF(OR(AND($A63="",$B63="",$C63="",$D63="",$E63=""),$I63&lt;&gt;""),"",EDATE($D63,$E63))</f>
        <v/>
      </c>
      <c r="G63" s="6" t="str">
        <f aca="false">IF(AND($A63="",$B63="",$C63="",$D63="",$E63=""),"",IF($I63&lt;&gt;"","Check details",IF($F63&lt;AsOf,"Overdue",IF($F63=AsOf,"Due today",IF($F63&lt;=AsOf+30,"Due in next 30 days","Later")))))</f>
        <v/>
      </c>
      <c r="H63" s="15" t="str">
        <f aca="false">IF($F63="","",$F63-AsOf)</f>
        <v/>
      </c>
      <c r="I63" s="16" t="str">
        <f aca="false">IF(AND($A63="",$B63="",$C63="",$D63="",$E63=""),"",TRIM(IF($A63="","Name missing. ","")&amp;IF($B63="","Site missing. ","")&amp;IF($D63="","Last service missing. ",IF(NOT(ISNUMBER($D63)),"Last service isn't a date. ",IF(OR($D63&lt;18264,$D63&lt;&gt;INT($D63)),"Last service isn't a valid date. ",IF($D63&gt;AsOf,"Last service is after the as-of date. ",""))))&amp;IF($E63="","Interval missing.",IF(NOT(ISNUMBER($E63)),"Interval must be a number.",IF($E63&lt;&gt;INT($E63),"Interval must be whole months.",IF(OR($E63&lt;1,$E63&gt;240),"Interval must be 1-240 months.",""))))))</f>
        <v/>
      </c>
      <c r="J63" s="17" t="str">
        <f aca="false">IF(AND($A63="",$B63="",$C63="",$D63="",$E63=""),"",IF('Due List'!$B$4="Check details",IF($G63="Check details",ROW(),""),IF('Due List'!$B$4="All records",IF($G63="Check details",ROW()/100000,$F63+ROW()/100000),IF(OR($G63="Overdue",$G63="Due today",$G63="Due in next 30 days"),$F63+ROW()/100000,""))))</f>
        <v/>
      </c>
    </row>
    <row r="64" customFormat="false" ht="15" hidden="false" customHeight="false" outlineLevel="0" collapsed="false">
      <c r="A64" s="11"/>
      <c r="B64" s="11"/>
      <c r="C64" s="11"/>
      <c r="D64" s="12"/>
      <c r="E64" s="13"/>
      <c r="F64" s="14" t="str">
        <f aca="false">IF(OR(AND($A64="",$B64="",$C64="",$D64="",$E64=""),$I64&lt;&gt;""),"",EDATE($D64,$E64))</f>
        <v/>
      </c>
      <c r="G64" s="6" t="str">
        <f aca="false">IF(AND($A64="",$B64="",$C64="",$D64="",$E64=""),"",IF($I64&lt;&gt;"","Check details",IF($F64&lt;AsOf,"Overdue",IF($F64=AsOf,"Due today",IF($F64&lt;=AsOf+30,"Due in next 30 days","Later")))))</f>
        <v/>
      </c>
      <c r="H64" s="15" t="str">
        <f aca="false">IF($F64="","",$F64-AsOf)</f>
        <v/>
      </c>
      <c r="I64" s="16" t="str">
        <f aca="false">IF(AND($A64="",$B64="",$C64="",$D64="",$E64=""),"",TRIM(IF($A64="","Name missing. ","")&amp;IF($B64="","Site missing. ","")&amp;IF($D64="","Last service missing. ",IF(NOT(ISNUMBER($D64)),"Last service isn't a date. ",IF(OR($D64&lt;18264,$D64&lt;&gt;INT($D64)),"Last service isn't a valid date. ",IF($D64&gt;AsOf,"Last service is after the as-of date. ",""))))&amp;IF($E64="","Interval missing.",IF(NOT(ISNUMBER($E64)),"Interval must be a number.",IF($E64&lt;&gt;INT($E64),"Interval must be whole months.",IF(OR($E64&lt;1,$E64&gt;240),"Interval must be 1-240 months.",""))))))</f>
        <v/>
      </c>
      <c r="J64" s="17" t="str">
        <f aca="false">IF(AND($A64="",$B64="",$C64="",$D64="",$E64=""),"",IF('Due List'!$B$4="Check details",IF($G64="Check details",ROW(),""),IF('Due List'!$B$4="All records",IF($G64="Check details",ROW()/100000,$F64+ROW()/100000),IF(OR($G64="Overdue",$G64="Due today",$G64="Due in next 30 days"),$F64+ROW()/100000,""))))</f>
        <v/>
      </c>
    </row>
    <row r="65" customFormat="false" ht="15" hidden="false" customHeight="false" outlineLevel="0" collapsed="false">
      <c r="A65" s="11"/>
      <c r="B65" s="11"/>
      <c r="C65" s="11"/>
      <c r="D65" s="12"/>
      <c r="E65" s="13"/>
      <c r="F65" s="14" t="str">
        <f aca="false">IF(OR(AND($A65="",$B65="",$C65="",$D65="",$E65=""),$I65&lt;&gt;""),"",EDATE($D65,$E65))</f>
        <v/>
      </c>
      <c r="G65" s="6" t="str">
        <f aca="false">IF(AND($A65="",$B65="",$C65="",$D65="",$E65=""),"",IF($I65&lt;&gt;"","Check details",IF($F65&lt;AsOf,"Overdue",IF($F65=AsOf,"Due today",IF($F65&lt;=AsOf+30,"Due in next 30 days","Later")))))</f>
        <v/>
      </c>
      <c r="H65" s="15" t="str">
        <f aca="false">IF($F65="","",$F65-AsOf)</f>
        <v/>
      </c>
      <c r="I65" s="16" t="str">
        <f aca="false">IF(AND($A65="",$B65="",$C65="",$D65="",$E65=""),"",TRIM(IF($A65="","Name missing. ","")&amp;IF($B65="","Site missing. ","")&amp;IF($D65="","Last service missing. ",IF(NOT(ISNUMBER($D65)),"Last service isn't a date. ",IF(OR($D65&lt;18264,$D65&lt;&gt;INT($D65)),"Last service isn't a valid date. ",IF($D65&gt;AsOf,"Last service is after the as-of date. ",""))))&amp;IF($E65="","Interval missing.",IF(NOT(ISNUMBER($E65)),"Interval must be a number.",IF($E65&lt;&gt;INT($E65),"Interval must be whole months.",IF(OR($E65&lt;1,$E65&gt;240),"Interval must be 1-240 months.",""))))))</f>
        <v/>
      </c>
      <c r="J65" s="17" t="str">
        <f aca="false">IF(AND($A65="",$B65="",$C65="",$D65="",$E65=""),"",IF('Due List'!$B$4="Check details",IF($G65="Check details",ROW(),""),IF('Due List'!$B$4="All records",IF($G65="Check details",ROW()/100000,$F65+ROW()/100000),IF(OR($G65="Overdue",$G65="Due today",$G65="Due in next 30 days"),$F65+ROW()/100000,""))))</f>
        <v/>
      </c>
    </row>
    <row r="66" customFormat="false" ht="15" hidden="false" customHeight="false" outlineLevel="0" collapsed="false">
      <c r="A66" s="11"/>
      <c r="B66" s="11"/>
      <c r="C66" s="11"/>
      <c r="D66" s="12"/>
      <c r="E66" s="13"/>
      <c r="F66" s="14" t="str">
        <f aca="false">IF(OR(AND($A66="",$B66="",$C66="",$D66="",$E66=""),$I66&lt;&gt;""),"",EDATE($D66,$E66))</f>
        <v/>
      </c>
      <c r="G66" s="6" t="str">
        <f aca="false">IF(AND($A66="",$B66="",$C66="",$D66="",$E66=""),"",IF($I66&lt;&gt;"","Check details",IF($F66&lt;AsOf,"Overdue",IF($F66=AsOf,"Due today",IF($F66&lt;=AsOf+30,"Due in next 30 days","Later")))))</f>
        <v/>
      </c>
      <c r="H66" s="15" t="str">
        <f aca="false">IF($F66="","",$F66-AsOf)</f>
        <v/>
      </c>
      <c r="I66" s="16" t="str">
        <f aca="false">IF(AND($A66="",$B66="",$C66="",$D66="",$E66=""),"",TRIM(IF($A66="","Name missing. ","")&amp;IF($B66="","Site missing. ","")&amp;IF($D66="","Last service missing. ",IF(NOT(ISNUMBER($D66)),"Last service isn't a date. ",IF(OR($D66&lt;18264,$D66&lt;&gt;INT($D66)),"Last service isn't a valid date. ",IF($D66&gt;AsOf,"Last service is after the as-of date. ",""))))&amp;IF($E66="","Interval missing.",IF(NOT(ISNUMBER($E66)),"Interval must be a number.",IF($E66&lt;&gt;INT($E66),"Interval must be whole months.",IF(OR($E66&lt;1,$E66&gt;240),"Interval must be 1-240 months.",""))))))</f>
        <v/>
      </c>
      <c r="J66" s="17" t="str">
        <f aca="false">IF(AND($A66="",$B66="",$C66="",$D66="",$E66=""),"",IF('Due List'!$B$4="Check details",IF($G66="Check details",ROW(),""),IF('Due List'!$B$4="All records",IF($G66="Check details",ROW()/100000,$F66+ROW()/100000),IF(OR($G66="Overdue",$G66="Due today",$G66="Due in next 30 days"),$F66+ROW()/100000,""))))</f>
        <v/>
      </c>
    </row>
    <row r="67" customFormat="false" ht="15" hidden="false" customHeight="false" outlineLevel="0" collapsed="false">
      <c r="A67" s="11"/>
      <c r="B67" s="11"/>
      <c r="C67" s="11"/>
      <c r="D67" s="12"/>
      <c r="E67" s="13"/>
      <c r="F67" s="14" t="str">
        <f aca="false">IF(OR(AND($A67="",$B67="",$C67="",$D67="",$E67=""),$I67&lt;&gt;""),"",EDATE($D67,$E67))</f>
        <v/>
      </c>
      <c r="G67" s="6" t="str">
        <f aca="false">IF(AND($A67="",$B67="",$C67="",$D67="",$E67=""),"",IF($I67&lt;&gt;"","Check details",IF($F67&lt;AsOf,"Overdue",IF($F67=AsOf,"Due today",IF($F67&lt;=AsOf+30,"Due in next 30 days","Later")))))</f>
        <v/>
      </c>
      <c r="H67" s="15" t="str">
        <f aca="false">IF($F67="","",$F67-AsOf)</f>
        <v/>
      </c>
      <c r="I67" s="16" t="str">
        <f aca="false">IF(AND($A67="",$B67="",$C67="",$D67="",$E67=""),"",TRIM(IF($A67="","Name missing. ","")&amp;IF($B67="","Site missing. ","")&amp;IF($D67="","Last service missing. ",IF(NOT(ISNUMBER($D67)),"Last service isn't a date. ",IF(OR($D67&lt;18264,$D67&lt;&gt;INT($D67)),"Last service isn't a valid date. ",IF($D67&gt;AsOf,"Last service is after the as-of date. ",""))))&amp;IF($E67="","Interval missing.",IF(NOT(ISNUMBER($E67)),"Interval must be a number.",IF($E67&lt;&gt;INT($E67),"Interval must be whole months.",IF(OR($E67&lt;1,$E67&gt;240),"Interval must be 1-240 months.",""))))))</f>
        <v/>
      </c>
      <c r="J67" s="17" t="str">
        <f aca="false">IF(AND($A67="",$B67="",$C67="",$D67="",$E67=""),"",IF('Due List'!$B$4="Check details",IF($G67="Check details",ROW(),""),IF('Due List'!$B$4="All records",IF($G67="Check details",ROW()/100000,$F67+ROW()/100000),IF(OR($G67="Overdue",$G67="Due today",$G67="Due in next 30 days"),$F67+ROW()/100000,""))))</f>
        <v/>
      </c>
    </row>
    <row r="68" customFormat="false" ht="15" hidden="false" customHeight="false" outlineLevel="0" collapsed="false">
      <c r="A68" s="11"/>
      <c r="B68" s="11"/>
      <c r="C68" s="11"/>
      <c r="D68" s="12"/>
      <c r="E68" s="13"/>
      <c r="F68" s="14" t="str">
        <f aca="false">IF(OR(AND($A68="",$B68="",$C68="",$D68="",$E68=""),$I68&lt;&gt;""),"",EDATE($D68,$E68))</f>
        <v/>
      </c>
      <c r="G68" s="6" t="str">
        <f aca="false">IF(AND($A68="",$B68="",$C68="",$D68="",$E68=""),"",IF($I68&lt;&gt;"","Check details",IF($F68&lt;AsOf,"Overdue",IF($F68=AsOf,"Due today",IF($F68&lt;=AsOf+30,"Due in next 30 days","Later")))))</f>
        <v/>
      </c>
      <c r="H68" s="15" t="str">
        <f aca="false">IF($F68="","",$F68-AsOf)</f>
        <v/>
      </c>
      <c r="I68" s="16" t="str">
        <f aca="false">IF(AND($A68="",$B68="",$C68="",$D68="",$E68=""),"",TRIM(IF($A68="","Name missing. ","")&amp;IF($B68="","Site missing. ","")&amp;IF($D68="","Last service missing. ",IF(NOT(ISNUMBER($D68)),"Last service isn't a date. ",IF(OR($D68&lt;18264,$D68&lt;&gt;INT($D68)),"Last service isn't a valid date. ",IF($D68&gt;AsOf,"Last service is after the as-of date. ",""))))&amp;IF($E68="","Interval missing.",IF(NOT(ISNUMBER($E68)),"Interval must be a number.",IF($E68&lt;&gt;INT($E68),"Interval must be whole months.",IF(OR($E68&lt;1,$E68&gt;240),"Interval must be 1-240 months.",""))))))</f>
        <v/>
      </c>
      <c r="J68" s="17" t="str">
        <f aca="false">IF(AND($A68="",$B68="",$C68="",$D68="",$E68=""),"",IF('Due List'!$B$4="Check details",IF($G68="Check details",ROW(),""),IF('Due List'!$B$4="All records",IF($G68="Check details",ROW()/100000,$F68+ROW()/100000),IF(OR($G68="Overdue",$G68="Due today",$G68="Due in next 30 days"),$F68+ROW()/100000,""))))</f>
        <v/>
      </c>
    </row>
    <row r="69" customFormat="false" ht="15" hidden="false" customHeight="false" outlineLevel="0" collapsed="false">
      <c r="A69" s="11"/>
      <c r="B69" s="11"/>
      <c r="C69" s="11"/>
      <c r="D69" s="12"/>
      <c r="E69" s="13"/>
      <c r="F69" s="14" t="str">
        <f aca="false">IF(OR(AND($A69="",$B69="",$C69="",$D69="",$E69=""),$I69&lt;&gt;""),"",EDATE($D69,$E69))</f>
        <v/>
      </c>
      <c r="G69" s="6" t="str">
        <f aca="false">IF(AND($A69="",$B69="",$C69="",$D69="",$E69=""),"",IF($I69&lt;&gt;"","Check details",IF($F69&lt;AsOf,"Overdue",IF($F69=AsOf,"Due today",IF($F69&lt;=AsOf+30,"Due in next 30 days","Later")))))</f>
        <v/>
      </c>
      <c r="H69" s="15" t="str">
        <f aca="false">IF($F69="","",$F69-AsOf)</f>
        <v/>
      </c>
      <c r="I69" s="16" t="str">
        <f aca="false">IF(AND($A69="",$B69="",$C69="",$D69="",$E69=""),"",TRIM(IF($A69="","Name missing. ","")&amp;IF($B69="","Site missing. ","")&amp;IF($D69="","Last service missing. ",IF(NOT(ISNUMBER($D69)),"Last service isn't a date. ",IF(OR($D69&lt;18264,$D69&lt;&gt;INT($D69)),"Last service isn't a valid date. ",IF($D69&gt;AsOf,"Last service is after the as-of date. ",""))))&amp;IF($E69="","Interval missing.",IF(NOT(ISNUMBER($E69)),"Interval must be a number.",IF($E69&lt;&gt;INT($E69),"Interval must be whole months.",IF(OR($E69&lt;1,$E69&gt;240),"Interval must be 1-240 months.",""))))))</f>
        <v/>
      </c>
      <c r="J69" s="17" t="str">
        <f aca="false">IF(AND($A69="",$B69="",$C69="",$D69="",$E69=""),"",IF('Due List'!$B$4="Check details",IF($G69="Check details",ROW(),""),IF('Due List'!$B$4="All records",IF($G69="Check details",ROW()/100000,$F69+ROW()/100000),IF(OR($G69="Overdue",$G69="Due today",$G69="Due in next 30 days"),$F69+ROW()/100000,""))))</f>
        <v/>
      </c>
    </row>
    <row r="70" customFormat="false" ht="15" hidden="false" customHeight="false" outlineLevel="0" collapsed="false">
      <c r="A70" s="11"/>
      <c r="B70" s="11"/>
      <c r="C70" s="11"/>
      <c r="D70" s="12"/>
      <c r="E70" s="13"/>
      <c r="F70" s="14" t="str">
        <f aca="false">IF(OR(AND($A70="",$B70="",$C70="",$D70="",$E70=""),$I70&lt;&gt;""),"",EDATE($D70,$E70))</f>
        <v/>
      </c>
      <c r="G70" s="6" t="str">
        <f aca="false">IF(AND($A70="",$B70="",$C70="",$D70="",$E70=""),"",IF($I70&lt;&gt;"","Check details",IF($F70&lt;AsOf,"Overdue",IF($F70=AsOf,"Due today",IF($F70&lt;=AsOf+30,"Due in next 30 days","Later")))))</f>
        <v/>
      </c>
      <c r="H70" s="15" t="str">
        <f aca="false">IF($F70="","",$F70-AsOf)</f>
        <v/>
      </c>
      <c r="I70" s="16" t="str">
        <f aca="false">IF(AND($A70="",$B70="",$C70="",$D70="",$E70=""),"",TRIM(IF($A70="","Name missing. ","")&amp;IF($B70="","Site missing. ","")&amp;IF($D70="","Last service missing. ",IF(NOT(ISNUMBER($D70)),"Last service isn't a date. ",IF(OR($D70&lt;18264,$D70&lt;&gt;INT($D70)),"Last service isn't a valid date. ",IF($D70&gt;AsOf,"Last service is after the as-of date. ",""))))&amp;IF($E70="","Interval missing.",IF(NOT(ISNUMBER($E70)),"Interval must be a number.",IF($E70&lt;&gt;INT($E70),"Interval must be whole months.",IF(OR($E70&lt;1,$E70&gt;240),"Interval must be 1-240 months.",""))))))</f>
        <v/>
      </c>
      <c r="J70" s="17" t="str">
        <f aca="false">IF(AND($A70="",$B70="",$C70="",$D70="",$E70=""),"",IF('Due List'!$B$4="Check details",IF($G70="Check details",ROW(),""),IF('Due List'!$B$4="All records",IF($G70="Check details",ROW()/100000,$F70+ROW()/100000),IF(OR($G70="Overdue",$G70="Due today",$G70="Due in next 30 days"),$F70+ROW()/100000,""))))</f>
        <v/>
      </c>
    </row>
    <row r="71" customFormat="false" ht="15" hidden="false" customHeight="false" outlineLevel="0" collapsed="false">
      <c r="A71" s="11"/>
      <c r="B71" s="11"/>
      <c r="C71" s="11"/>
      <c r="D71" s="12"/>
      <c r="E71" s="13"/>
      <c r="F71" s="14" t="str">
        <f aca="false">IF(OR(AND($A71="",$B71="",$C71="",$D71="",$E71=""),$I71&lt;&gt;""),"",EDATE($D71,$E71))</f>
        <v/>
      </c>
      <c r="G71" s="6" t="str">
        <f aca="false">IF(AND($A71="",$B71="",$C71="",$D71="",$E71=""),"",IF($I71&lt;&gt;"","Check details",IF($F71&lt;AsOf,"Overdue",IF($F71=AsOf,"Due today",IF($F71&lt;=AsOf+30,"Due in next 30 days","Later")))))</f>
        <v/>
      </c>
      <c r="H71" s="15" t="str">
        <f aca="false">IF($F71="","",$F71-AsOf)</f>
        <v/>
      </c>
      <c r="I71" s="16" t="str">
        <f aca="false">IF(AND($A71="",$B71="",$C71="",$D71="",$E71=""),"",TRIM(IF($A71="","Name missing. ","")&amp;IF($B71="","Site missing. ","")&amp;IF($D71="","Last service missing. ",IF(NOT(ISNUMBER($D71)),"Last service isn't a date. ",IF(OR($D71&lt;18264,$D71&lt;&gt;INT($D71)),"Last service isn't a valid date. ",IF($D71&gt;AsOf,"Last service is after the as-of date. ",""))))&amp;IF($E71="","Interval missing.",IF(NOT(ISNUMBER($E71)),"Interval must be a number.",IF($E71&lt;&gt;INT($E71),"Interval must be whole months.",IF(OR($E71&lt;1,$E71&gt;240),"Interval must be 1-240 months.",""))))))</f>
        <v/>
      </c>
      <c r="J71" s="17" t="str">
        <f aca="false">IF(AND($A71="",$B71="",$C71="",$D71="",$E71=""),"",IF('Due List'!$B$4="Check details",IF($G71="Check details",ROW(),""),IF('Due List'!$B$4="All records",IF($G71="Check details",ROW()/100000,$F71+ROW()/100000),IF(OR($G71="Overdue",$G71="Due today",$G71="Due in next 30 days"),$F71+ROW()/100000,""))))</f>
        <v/>
      </c>
    </row>
    <row r="72" customFormat="false" ht="15" hidden="false" customHeight="false" outlineLevel="0" collapsed="false">
      <c r="A72" s="11"/>
      <c r="B72" s="11"/>
      <c r="C72" s="11"/>
      <c r="D72" s="12"/>
      <c r="E72" s="13"/>
      <c r="F72" s="14" t="str">
        <f aca="false">IF(OR(AND($A72="",$B72="",$C72="",$D72="",$E72=""),$I72&lt;&gt;""),"",EDATE($D72,$E72))</f>
        <v/>
      </c>
      <c r="G72" s="6" t="str">
        <f aca="false">IF(AND($A72="",$B72="",$C72="",$D72="",$E72=""),"",IF($I72&lt;&gt;"","Check details",IF($F72&lt;AsOf,"Overdue",IF($F72=AsOf,"Due today",IF($F72&lt;=AsOf+30,"Due in next 30 days","Later")))))</f>
        <v/>
      </c>
      <c r="H72" s="15" t="str">
        <f aca="false">IF($F72="","",$F72-AsOf)</f>
        <v/>
      </c>
      <c r="I72" s="16" t="str">
        <f aca="false">IF(AND($A72="",$B72="",$C72="",$D72="",$E72=""),"",TRIM(IF($A72="","Name missing. ","")&amp;IF($B72="","Site missing. ","")&amp;IF($D72="","Last service missing. ",IF(NOT(ISNUMBER($D72)),"Last service isn't a date. ",IF(OR($D72&lt;18264,$D72&lt;&gt;INT($D72)),"Last service isn't a valid date. ",IF($D72&gt;AsOf,"Last service is after the as-of date. ",""))))&amp;IF($E72="","Interval missing.",IF(NOT(ISNUMBER($E72)),"Interval must be a number.",IF($E72&lt;&gt;INT($E72),"Interval must be whole months.",IF(OR($E72&lt;1,$E72&gt;240),"Interval must be 1-240 months.",""))))))</f>
        <v/>
      </c>
      <c r="J72" s="17" t="str">
        <f aca="false">IF(AND($A72="",$B72="",$C72="",$D72="",$E72=""),"",IF('Due List'!$B$4="Check details",IF($G72="Check details",ROW(),""),IF('Due List'!$B$4="All records",IF($G72="Check details",ROW()/100000,$F72+ROW()/100000),IF(OR($G72="Overdue",$G72="Due today",$G72="Due in next 30 days"),$F72+ROW()/100000,""))))</f>
        <v/>
      </c>
    </row>
    <row r="73" customFormat="false" ht="15" hidden="false" customHeight="false" outlineLevel="0" collapsed="false">
      <c r="A73" s="11"/>
      <c r="B73" s="11"/>
      <c r="C73" s="11"/>
      <c r="D73" s="12"/>
      <c r="E73" s="13"/>
      <c r="F73" s="14" t="str">
        <f aca="false">IF(OR(AND($A73="",$B73="",$C73="",$D73="",$E73=""),$I73&lt;&gt;""),"",EDATE($D73,$E73))</f>
        <v/>
      </c>
      <c r="G73" s="6" t="str">
        <f aca="false">IF(AND($A73="",$B73="",$C73="",$D73="",$E73=""),"",IF($I73&lt;&gt;"","Check details",IF($F73&lt;AsOf,"Overdue",IF($F73=AsOf,"Due today",IF($F73&lt;=AsOf+30,"Due in next 30 days","Later")))))</f>
        <v/>
      </c>
      <c r="H73" s="15" t="str">
        <f aca="false">IF($F73="","",$F73-AsOf)</f>
        <v/>
      </c>
      <c r="I73" s="16" t="str">
        <f aca="false">IF(AND($A73="",$B73="",$C73="",$D73="",$E73=""),"",TRIM(IF($A73="","Name missing. ","")&amp;IF($B73="","Site missing. ","")&amp;IF($D73="","Last service missing. ",IF(NOT(ISNUMBER($D73)),"Last service isn't a date. ",IF(OR($D73&lt;18264,$D73&lt;&gt;INT($D73)),"Last service isn't a valid date. ",IF($D73&gt;AsOf,"Last service is after the as-of date. ",""))))&amp;IF($E73="","Interval missing.",IF(NOT(ISNUMBER($E73)),"Interval must be a number.",IF($E73&lt;&gt;INT($E73),"Interval must be whole months.",IF(OR($E73&lt;1,$E73&gt;240),"Interval must be 1-240 months.",""))))))</f>
        <v/>
      </c>
      <c r="J73" s="17" t="str">
        <f aca="false">IF(AND($A73="",$B73="",$C73="",$D73="",$E73=""),"",IF('Due List'!$B$4="Check details",IF($G73="Check details",ROW(),""),IF('Due List'!$B$4="All records",IF($G73="Check details",ROW()/100000,$F73+ROW()/100000),IF(OR($G73="Overdue",$G73="Due today",$G73="Due in next 30 days"),$F73+ROW()/100000,""))))</f>
        <v/>
      </c>
    </row>
    <row r="74" customFormat="false" ht="15" hidden="false" customHeight="false" outlineLevel="0" collapsed="false">
      <c r="A74" s="11"/>
      <c r="B74" s="11"/>
      <c r="C74" s="11"/>
      <c r="D74" s="12"/>
      <c r="E74" s="13"/>
      <c r="F74" s="14" t="str">
        <f aca="false">IF(OR(AND($A74="",$B74="",$C74="",$D74="",$E74=""),$I74&lt;&gt;""),"",EDATE($D74,$E74))</f>
        <v/>
      </c>
      <c r="G74" s="6" t="str">
        <f aca="false">IF(AND($A74="",$B74="",$C74="",$D74="",$E74=""),"",IF($I74&lt;&gt;"","Check details",IF($F74&lt;AsOf,"Overdue",IF($F74=AsOf,"Due today",IF($F74&lt;=AsOf+30,"Due in next 30 days","Later")))))</f>
        <v/>
      </c>
      <c r="H74" s="15" t="str">
        <f aca="false">IF($F74="","",$F74-AsOf)</f>
        <v/>
      </c>
      <c r="I74" s="16" t="str">
        <f aca="false">IF(AND($A74="",$B74="",$C74="",$D74="",$E74=""),"",TRIM(IF($A74="","Name missing. ","")&amp;IF($B74="","Site missing. ","")&amp;IF($D74="","Last service missing. ",IF(NOT(ISNUMBER($D74)),"Last service isn't a date. ",IF(OR($D74&lt;18264,$D74&lt;&gt;INT($D74)),"Last service isn't a valid date. ",IF($D74&gt;AsOf,"Last service is after the as-of date. ",""))))&amp;IF($E74="","Interval missing.",IF(NOT(ISNUMBER($E74)),"Interval must be a number.",IF($E74&lt;&gt;INT($E74),"Interval must be whole months.",IF(OR($E74&lt;1,$E74&gt;240),"Interval must be 1-240 months.",""))))))</f>
        <v/>
      </c>
      <c r="J74" s="17" t="str">
        <f aca="false">IF(AND($A74="",$B74="",$C74="",$D74="",$E74=""),"",IF('Due List'!$B$4="Check details",IF($G74="Check details",ROW(),""),IF('Due List'!$B$4="All records",IF($G74="Check details",ROW()/100000,$F74+ROW()/100000),IF(OR($G74="Overdue",$G74="Due today",$G74="Due in next 30 days"),$F74+ROW()/100000,""))))</f>
        <v/>
      </c>
    </row>
    <row r="75" customFormat="false" ht="15" hidden="false" customHeight="false" outlineLevel="0" collapsed="false">
      <c r="A75" s="11"/>
      <c r="B75" s="11"/>
      <c r="C75" s="11"/>
      <c r="D75" s="12"/>
      <c r="E75" s="13"/>
      <c r="F75" s="14" t="str">
        <f aca="false">IF(OR(AND($A75="",$B75="",$C75="",$D75="",$E75=""),$I75&lt;&gt;""),"",EDATE($D75,$E75))</f>
        <v/>
      </c>
      <c r="G75" s="6" t="str">
        <f aca="false">IF(AND($A75="",$B75="",$C75="",$D75="",$E75=""),"",IF($I75&lt;&gt;"","Check details",IF($F75&lt;AsOf,"Overdue",IF($F75=AsOf,"Due today",IF($F75&lt;=AsOf+30,"Due in next 30 days","Later")))))</f>
        <v/>
      </c>
      <c r="H75" s="15" t="str">
        <f aca="false">IF($F75="","",$F75-AsOf)</f>
        <v/>
      </c>
      <c r="I75" s="16" t="str">
        <f aca="false">IF(AND($A75="",$B75="",$C75="",$D75="",$E75=""),"",TRIM(IF($A75="","Name missing. ","")&amp;IF($B75="","Site missing. ","")&amp;IF($D75="","Last service missing. ",IF(NOT(ISNUMBER($D75)),"Last service isn't a date. ",IF(OR($D75&lt;18264,$D75&lt;&gt;INT($D75)),"Last service isn't a valid date. ",IF($D75&gt;AsOf,"Last service is after the as-of date. ",""))))&amp;IF($E75="","Interval missing.",IF(NOT(ISNUMBER($E75)),"Interval must be a number.",IF($E75&lt;&gt;INT($E75),"Interval must be whole months.",IF(OR($E75&lt;1,$E75&gt;240),"Interval must be 1-240 months.",""))))))</f>
        <v/>
      </c>
      <c r="J75" s="17" t="str">
        <f aca="false">IF(AND($A75="",$B75="",$C75="",$D75="",$E75=""),"",IF('Due List'!$B$4="Check details",IF($G75="Check details",ROW(),""),IF('Due List'!$B$4="All records",IF($G75="Check details",ROW()/100000,$F75+ROW()/100000),IF(OR($G75="Overdue",$G75="Due today",$G75="Due in next 30 days"),$F75+ROW()/100000,""))))</f>
        <v/>
      </c>
    </row>
    <row r="76" customFormat="false" ht="15" hidden="false" customHeight="false" outlineLevel="0" collapsed="false">
      <c r="A76" s="11"/>
      <c r="B76" s="11"/>
      <c r="C76" s="11"/>
      <c r="D76" s="12"/>
      <c r="E76" s="13"/>
      <c r="F76" s="14" t="str">
        <f aca="false">IF(OR(AND($A76="",$B76="",$C76="",$D76="",$E76=""),$I76&lt;&gt;""),"",EDATE($D76,$E76))</f>
        <v/>
      </c>
      <c r="G76" s="6" t="str">
        <f aca="false">IF(AND($A76="",$B76="",$C76="",$D76="",$E76=""),"",IF($I76&lt;&gt;"","Check details",IF($F76&lt;AsOf,"Overdue",IF($F76=AsOf,"Due today",IF($F76&lt;=AsOf+30,"Due in next 30 days","Later")))))</f>
        <v/>
      </c>
      <c r="H76" s="15" t="str">
        <f aca="false">IF($F76="","",$F76-AsOf)</f>
        <v/>
      </c>
      <c r="I76" s="16" t="str">
        <f aca="false">IF(AND($A76="",$B76="",$C76="",$D76="",$E76=""),"",TRIM(IF($A76="","Name missing. ","")&amp;IF($B76="","Site missing. ","")&amp;IF($D76="","Last service missing. ",IF(NOT(ISNUMBER($D76)),"Last service isn't a date. ",IF(OR($D76&lt;18264,$D76&lt;&gt;INT($D76)),"Last service isn't a valid date. ",IF($D76&gt;AsOf,"Last service is after the as-of date. ",""))))&amp;IF($E76="","Interval missing.",IF(NOT(ISNUMBER($E76)),"Interval must be a number.",IF($E76&lt;&gt;INT($E76),"Interval must be whole months.",IF(OR($E76&lt;1,$E76&gt;240),"Interval must be 1-240 months.",""))))))</f>
        <v/>
      </c>
      <c r="J76" s="17" t="str">
        <f aca="false">IF(AND($A76="",$B76="",$C76="",$D76="",$E76=""),"",IF('Due List'!$B$4="Check details",IF($G76="Check details",ROW(),""),IF('Due List'!$B$4="All records",IF($G76="Check details",ROW()/100000,$F76+ROW()/100000),IF(OR($G76="Overdue",$G76="Due today",$G76="Due in next 30 days"),$F76+ROW()/100000,""))))</f>
        <v/>
      </c>
    </row>
    <row r="77" customFormat="false" ht="15" hidden="false" customHeight="false" outlineLevel="0" collapsed="false">
      <c r="A77" s="11"/>
      <c r="B77" s="11"/>
      <c r="C77" s="11"/>
      <c r="D77" s="12"/>
      <c r="E77" s="13"/>
      <c r="F77" s="14" t="str">
        <f aca="false">IF(OR(AND($A77="",$B77="",$C77="",$D77="",$E77=""),$I77&lt;&gt;""),"",EDATE($D77,$E77))</f>
        <v/>
      </c>
      <c r="G77" s="6" t="str">
        <f aca="false">IF(AND($A77="",$B77="",$C77="",$D77="",$E77=""),"",IF($I77&lt;&gt;"","Check details",IF($F77&lt;AsOf,"Overdue",IF($F77=AsOf,"Due today",IF($F77&lt;=AsOf+30,"Due in next 30 days","Later")))))</f>
        <v/>
      </c>
      <c r="H77" s="15" t="str">
        <f aca="false">IF($F77="","",$F77-AsOf)</f>
        <v/>
      </c>
      <c r="I77" s="16" t="str">
        <f aca="false">IF(AND($A77="",$B77="",$C77="",$D77="",$E77=""),"",TRIM(IF($A77="","Name missing. ","")&amp;IF($B77="","Site missing. ","")&amp;IF($D77="","Last service missing. ",IF(NOT(ISNUMBER($D77)),"Last service isn't a date. ",IF(OR($D77&lt;18264,$D77&lt;&gt;INT($D77)),"Last service isn't a valid date. ",IF($D77&gt;AsOf,"Last service is after the as-of date. ",""))))&amp;IF($E77="","Interval missing.",IF(NOT(ISNUMBER($E77)),"Interval must be a number.",IF($E77&lt;&gt;INT($E77),"Interval must be whole months.",IF(OR($E77&lt;1,$E77&gt;240),"Interval must be 1-240 months.",""))))))</f>
        <v/>
      </c>
      <c r="J77" s="17" t="str">
        <f aca="false">IF(AND($A77="",$B77="",$C77="",$D77="",$E77=""),"",IF('Due List'!$B$4="Check details",IF($G77="Check details",ROW(),""),IF('Due List'!$B$4="All records",IF($G77="Check details",ROW()/100000,$F77+ROW()/100000),IF(OR($G77="Overdue",$G77="Due today",$G77="Due in next 30 days"),$F77+ROW()/100000,""))))</f>
        <v/>
      </c>
    </row>
    <row r="78" customFormat="false" ht="15" hidden="false" customHeight="false" outlineLevel="0" collapsed="false">
      <c r="A78" s="11"/>
      <c r="B78" s="11"/>
      <c r="C78" s="11"/>
      <c r="D78" s="12"/>
      <c r="E78" s="13"/>
      <c r="F78" s="14" t="str">
        <f aca="false">IF(OR(AND($A78="",$B78="",$C78="",$D78="",$E78=""),$I78&lt;&gt;""),"",EDATE($D78,$E78))</f>
        <v/>
      </c>
      <c r="G78" s="6" t="str">
        <f aca="false">IF(AND($A78="",$B78="",$C78="",$D78="",$E78=""),"",IF($I78&lt;&gt;"","Check details",IF($F78&lt;AsOf,"Overdue",IF($F78=AsOf,"Due today",IF($F78&lt;=AsOf+30,"Due in next 30 days","Later")))))</f>
        <v/>
      </c>
      <c r="H78" s="15" t="str">
        <f aca="false">IF($F78="","",$F78-AsOf)</f>
        <v/>
      </c>
      <c r="I78" s="16" t="str">
        <f aca="false">IF(AND($A78="",$B78="",$C78="",$D78="",$E78=""),"",TRIM(IF($A78="","Name missing. ","")&amp;IF($B78="","Site missing. ","")&amp;IF($D78="","Last service missing. ",IF(NOT(ISNUMBER($D78)),"Last service isn't a date. ",IF(OR($D78&lt;18264,$D78&lt;&gt;INT($D78)),"Last service isn't a valid date. ",IF($D78&gt;AsOf,"Last service is after the as-of date. ",""))))&amp;IF($E78="","Interval missing.",IF(NOT(ISNUMBER($E78)),"Interval must be a number.",IF($E78&lt;&gt;INT($E78),"Interval must be whole months.",IF(OR($E78&lt;1,$E78&gt;240),"Interval must be 1-240 months.",""))))))</f>
        <v/>
      </c>
      <c r="J78" s="17" t="str">
        <f aca="false">IF(AND($A78="",$B78="",$C78="",$D78="",$E78=""),"",IF('Due List'!$B$4="Check details",IF($G78="Check details",ROW(),""),IF('Due List'!$B$4="All records",IF($G78="Check details",ROW()/100000,$F78+ROW()/100000),IF(OR($G78="Overdue",$G78="Due today",$G78="Due in next 30 days"),$F78+ROW()/100000,""))))</f>
        <v/>
      </c>
    </row>
    <row r="79" customFormat="false" ht="15" hidden="false" customHeight="false" outlineLevel="0" collapsed="false">
      <c r="A79" s="11"/>
      <c r="B79" s="11"/>
      <c r="C79" s="11"/>
      <c r="D79" s="12"/>
      <c r="E79" s="13"/>
      <c r="F79" s="14" t="str">
        <f aca="false">IF(OR(AND($A79="",$B79="",$C79="",$D79="",$E79=""),$I79&lt;&gt;""),"",EDATE($D79,$E79))</f>
        <v/>
      </c>
      <c r="G79" s="6" t="str">
        <f aca="false">IF(AND($A79="",$B79="",$C79="",$D79="",$E79=""),"",IF($I79&lt;&gt;"","Check details",IF($F79&lt;AsOf,"Overdue",IF($F79=AsOf,"Due today",IF($F79&lt;=AsOf+30,"Due in next 30 days","Later")))))</f>
        <v/>
      </c>
      <c r="H79" s="15" t="str">
        <f aca="false">IF($F79="","",$F79-AsOf)</f>
        <v/>
      </c>
      <c r="I79" s="16" t="str">
        <f aca="false">IF(AND($A79="",$B79="",$C79="",$D79="",$E79=""),"",TRIM(IF($A79="","Name missing. ","")&amp;IF($B79="","Site missing. ","")&amp;IF($D79="","Last service missing. ",IF(NOT(ISNUMBER($D79)),"Last service isn't a date. ",IF(OR($D79&lt;18264,$D79&lt;&gt;INT($D79)),"Last service isn't a valid date. ",IF($D79&gt;AsOf,"Last service is after the as-of date. ",""))))&amp;IF($E79="","Interval missing.",IF(NOT(ISNUMBER($E79)),"Interval must be a number.",IF($E79&lt;&gt;INT($E79),"Interval must be whole months.",IF(OR($E79&lt;1,$E79&gt;240),"Interval must be 1-240 months.",""))))))</f>
        <v/>
      </c>
      <c r="J79" s="17" t="str">
        <f aca="false">IF(AND($A79="",$B79="",$C79="",$D79="",$E79=""),"",IF('Due List'!$B$4="Check details",IF($G79="Check details",ROW(),""),IF('Due List'!$B$4="All records",IF($G79="Check details",ROW()/100000,$F79+ROW()/100000),IF(OR($G79="Overdue",$G79="Due today",$G79="Due in next 30 days"),$F79+ROW()/100000,""))))</f>
        <v/>
      </c>
    </row>
    <row r="80" customFormat="false" ht="15" hidden="false" customHeight="false" outlineLevel="0" collapsed="false">
      <c r="A80" s="11"/>
      <c r="B80" s="11"/>
      <c r="C80" s="11"/>
      <c r="D80" s="12"/>
      <c r="E80" s="13"/>
      <c r="F80" s="14" t="str">
        <f aca="false">IF(OR(AND($A80="",$B80="",$C80="",$D80="",$E80=""),$I80&lt;&gt;""),"",EDATE($D80,$E80))</f>
        <v/>
      </c>
      <c r="G80" s="6" t="str">
        <f aca="false">IF(AND($A80="",$B80="",$C80="",$D80="",$E80=""),"",IF($I80&lt;&gt;"","Check details",IF($F80&lt;AsOf,"Overdue",IF($F80=AsOf,"Due today",IF($F80&lt;=AsOf+30,"Due in next 30 days","Later")))))</f>
        <v/>
      </c>
      <c r="H80" s="15" t="str">
        <f aca="false">IF($F80="","",$F80-AsOf)</f>
        <v/>
      </c>
      <c r="I80" s="16" t="str">
        <f aca="false">IF(AND($A80="",$B80="",$C80="",$D80="",$E80=""),"",TRIM(IF($A80="","Name missing. ","")&amp;IF($B80="","Site missing. ","")&amp;IF($D80="","Last service missing. ",IF(NOT(ISNUMBER($D80)),"Last service isn't a date. ",IF(OR($D80&lt;18264,$D80&lt;&gt;INT($D80)),"Last service isn't a valid date. ",IF($D80&gt;AsOf,"Last service is after the as-of date. ",""))))&amp;IF($E80="","Interval missing.",IF(NOT(ISNUMBER($E80)),"Interval must be a number.",IF($E80&lt;&gt;INT($E80),"Interval must be whole months.",IF(OR($E80&lt;1,$E80&gt;240),"Interval must be 1-240 months.",""))))))</f>
        <v/>
      </c>
      <c r="J80" s="17" t="str">
        <f aca="false">IF(AND($A80="",$B80="",$C80="",$D80="",$E80=""),"",IF('Due List'!$B$4="Check details",IF($G80="Check details",ROW(),""),IF('Due List'!$B$4="All records",IF($G80="Check details",ROW()/100000,$F80+ROW()/100000),IF(OR($G80="Overdue",$G80="Due today",$G80="Due in next 30 days"),$F80+ROW()/100000,""))))</f>
        <v/>
      </c>
    </row>
    <row r="81" customFormat="false" ht="15" hidden="false" customHeight="false" outlineLevel="0" collapsed="false">
      <c r="A81" s="11"/>
      <c r="B81" s="11"/>
      <c r="C81" s="11"/>
      <c r="D81" s="12"/>
      <c r="E81" s="13"/>
      <c r="F81" s="14" t="str">
        <f aca="false">IF(OR(AND($A81="",$B81="",$C81="",$D81="",$E81=""),$I81&lt;&gt;""),"",EDATE($D81,$E81))</f>
        <v/>
      </c>
      <c r="G81" s="6" t="str">
        <f aca="false">IF(AND($A81="",$B81="",$C81="",$D81="",$E81=""),"",IF($I81&lt;&gt;"","Check details",IF($F81&lt;AsOf,"Overdue",IF($F81=AsOf,"Due today",IF($F81&lt;=AsOf+30,"Due in next 30 days","Later")))))</f>
        <v/>
      </c>
      <c r="H81" s="15" t="str">
        <f aca="false">IF($F81="","",$F81-AsOf)</f>
        <v/>
      </c>
      <c r="I81" s="16" t="str">
        <f aca="false">IF(AND($A81="",$B81="",$C81="",$D81="",$E81=""),"",TRIM(IF($A81="","Name missing. ","")&amp;IF($B81="","Site missing. ","")&amp;IF($D81="","Last service missing. ",IF(NOT(ISNUMBER($D81)),"Last service isn't a date. ",IF(OR($D81&lt;18264,$D81&lt;&gt;INT($D81)),"Last service isn't a valid date. ",IF($D81&gt;AsOf,"Last service is after the as-of date. ",""))))&amp;IF($E81="","Interval missing.",IF(NOT(ISNUMBER($E81)),"Interval must be a number.",IF($E81&lt;&gt;INT($E81),"Interval must be whole months.",IF(OR($E81&lt;1,$E81&gt;240),"Interval must be 1-240 months.",""))))))</f>
        <v/>
      </c>
      <c r="J81" s="17" t="str">
        <f aca="false">IF(AND($A81="",$B81="",$C81="",$D81="",$E81=""),"",IF('Due List'!$B$4="Check details",IF($G81="Check details",ROW(),""),IF('Due List'!$B$4="All records",IF($G81="Check details",ROW()/100000,$F81+ROW()/100000),IF(OR($G81="Overdue",$G81="Due today",$G81="Due in next 30 days"),$F81+ROW()/100000,""))))</f>
        <v/>
      </c>
    </row>
    <row r="82" customFormat="false" ht="15" hidden="false" customHeight="false" outlineLevel="0" collapsed="false">
      <c r="A82" s="11"/>
      <c r="B82" s="11"/>
      <c r="C82" s="11"/>
      <c r="D82" s="12"/>
      <c r="E82" s="13"/>
      <c r="F82" s="14" t="str">
        <f aca="false">IF(OR(AND($A82="",$B82="",$C82="",$D82="",$E82=""),$I82&lt;&gt;""),"",EDATE($D82,$E82))</f>
        <v/>
      </c>
      <c r="G82" s="6" t="str">
        <f aca="false">IF(AND($A82="",$B82="",$C82="",$D82="",$E82=""),"",IF($I82&lt;&gt;"","Check details",IF($F82&lt;AsOf,"Overdue",IF($F82=AsOf,"Due today",IF($F82&lt;=AsOf+30,"Due in next 30 days","Later")))))</f>
        <v/>
      </c>
      <c r="H82" s="15" t="str">
        <f aca="false">IF($F82="","",$F82-AsOf)</f>
        <v/>
      </c>
      <c r="I82" s="16" t="str">
        <f aca="false">IF(AND($A82="",$B82="",$C82="",$D82="",$E82=""),"",TRIM(IF($A82="","Name missing. ","")&amp;IF($B82="","Site missing. ","")&amp;IF($D82="","Last service missing. ",IF(NOT(ISNUMBER($D82)),"Last service isn't a date. ",IF(OR($D82&lt;18264,$D82&lt;&gt;INT($D82)),"Last service isn't a valid date. ",IF($D82&gt;AsOf,"Last service is after the as-of date. ",""))))&amp;IF($E82="","Interval missing.",IF(NOT(ISNUMBER($E82)),"Interval must be a number.",IF($E82&lt;&gt;INT($E82),"Interval must be whole months.",IF(OR($E82&lt;1,$E82&gt;240),"Interval must be 1-240 months.",""))))))</f>
        <v/>
      </c>
      <c r="J82" s="17" t="str">
        <f aca="false">IF(AND($A82="",$B82="",$C82="",$D82="",$E82=""),"",IF('Due List'!$B$4="Check details",IF($G82="Check details",ROW(),""),IF('Due List'!$B$4="All records",IF($G82="Check details",ROW()/100000,$F82+ROW()/100000),IF(OR($G82="Overdue",$G82="Due today",$G82="Due in next 30 days"),$F82+ROW()/100000,""))))</f>
        <v/>
      </c>
    </row>
    <row r="83" customFormat="false" ht="15" hidden="false" customHeight="false" outlineLevel="0" collapsed="false">
      <c r="A83" s="11"/>
      <c r="B83" s="11"/>
      <c r="C83" s="11"/>
      <c r="D83" s="12"/>
      <c r="E83" s="13"/>
      <c r="F83" s="14" t="str">
        <f aca="false">IF(OR(AND($A83="",$B83="",$C83="",$D83="",$E83=""),$I83&lt;&gt;""),"",EDATE($D83,$E83))</f>
        <v/>
      </c>
      <c r="G83" s="6" t="str">
        <f aca="false">IF(AND($A83="",$B83="",$C83="",$D83="",$E83=""),"",IF($I83&lt;&gt;"","Check details",IF($F83&lt;AsOf,"Overdue",IF($F83=AsOf,"Due today",IF($F83&lt;=AsOf+30,"Due in next 30 days","Later")))))</f>
        <v/>
      </c>
      <c r="H83" s="15" t="str">
        <f aca="false">IF($F83="","",$F83-AsOf)</f>
        <v/>
      </c>
      <c r="I83" s="16" t="str">
        <f aca="false">IF(AND($A83="",$B83="",$C83="",$D83="",$E83=""),"",TRIM(IF($A83="","Name missing. ","")&amp;IF($B83="","Site missing. ","")&amp;IF($D83="","Last service missing. ",IF(NOT(ISNUMBER($D83)),"Last service isn't a date. ",IF(OR($D83&lt;18264,$D83&lt;&gt;INT($D83)),"Last service isn't a valid date. ",IF($D83&gt;AsOf,"Last service is after the as-of date. ",""))))&amp;IF($E83="","Interval missing.",IF(NOT(ISNUMBER($E83)),"Interval must be a number.",IF($E83&lt;&gt;INT($E83),"Interval must be whole months.",IF(OR($E83&lt;1,$E83&gt;240),"Interval must be 1-240 months.",""))))))</f>
        <v/>
      </c>
      <c r="J83" s="17" t="str">
        <f aca="false">IF(AND($A83="",$B83="",$C83="",$D83="",$E83=""),"",IF('Due List'!$B$4="Check details",IF($G83="Check details",ROW(),""),IF('Due List'!$B$4="All records",IF($G83="Check details",ROW()/100000,$F83+ROW()/100000),IF(OR($G83="Overdue",$G83="Due today",$G83="Due in next 30 days"),$F83+ROW()/100000,""))))</f>
        <v/>
      </c>
    </row>
    <row r="84" customFormat="false" ht="15" hidden="false" customHeight="false" outlineLevel="0" collapsed="false">
      <c r="A84" s="11"/>
      <c r="B84" s="11"/>
      <c r="C84" s="11"/>
      <c r="D84" s="12"/>
      <c r="E84" s="13"/>
      <c r="F84" s="14" t="str">
        <f aca="false">IF(OR(AND($A84="",$B84="",$C84="",$D84="",$E84=""),$I84&lt;&gt;""),"",EDATE($D84,$E84))</f>
        <v/>
      </c>
      <c r="G84" s="6" t="str">
        <f aca="false">IF(AND($A84="",$B84="",$C84="",$D84="",$E84=""),"",IF($I84&lt;&gt;"","Check details",IF($F84&lt;AsOf,"Overdue",IF($F84=AsOf,"Due today",IF($F84&lt;=AsOf+30,"Due in next 30 days","Later")))))</f>
        <v/>
      </c>
      <c r="H84" s="15" t="str">
        <f aca="false">IF($F84="","",$F84-AsOf)</f>
        <v/>
      </c>
      <c r="I84" s="16" t="str">
        <f aca="false">IF(AND($A84="",$B84="",$C84="",$D84="",$E84=""),"",TRIM(IF($A84="","Name missing. ","")&amp;IF($B84="","Site missing. ","")&amp;IF($D84="","Last service missing. ",IF(NOT(ISNUMBER($D84)),"Last service isn't a date. ",IF(OR($D84&lt;18264,$D84&lt;&gt;INT($D84)),"Last service isn't a valid date. ",IF($D84&gt;AsOf,"Last service is after the as-of date. ",""))))&amp;IF($E84="","Interval missing.",IF(NOT(ISNUMBER($E84)),"Interval must be a number.",IF($E84&lt;&gt;INT($E84),"Interval must be whole months.",IF(OR($E84&lt;1,$E84&gt;240),"Interval must be 1-240 months.",""))))))</f>
        <v/>
      </c>
      <c r="J84" s="17" t="str">
        <f aca="false">IF(AND($A84="",$B84="",$C84="",$D84="",$E84=""),"",IF('Due List'!$B$4="Check details",IF($G84="Check details",ROW(),""),IF('Due List'!$B$4="All records",IF($G84="Check details",ROW()/100000,$F84+ROW()/100000),IF(OR($G84="Overdue",$G84="Due today",$G84="Due in next 30 days"),$F84+ROW()/100000,""))))</f>
        <v/>
      </c>
    </row>
    <row r="85" customFormat="false" ht="15" hidden="false" customHeight="false" outlineLevel="0" collapsed="false">
      <c r="A85" s="11"/>
      <c r="B85" s="11"/>
      <c r="C85" s="11"/>
      <c r="D85" s="12"/>
      <c r="E85" s="13"/>
      <c r="F85" s="14" t="str">
        <f aca="false">IF(OR(AND($A85="",$B85="",$C85="",$D85="",$E85=""),$I85&lt;&gt;""),"",EDATE($D85,$E85))</f>
        <v/>
      </c>
      <c r="G85" s="6" t="str">
        <f aca="false">IF(AND($A85="",$B85="",$C85="",$D85="",$E85=""),"",IF($I85&lt;&gt;"","Check details",IF($F85&lt;AsOf,"Overdue",IF($F85=AsOf,"Due today",IF($F85&lt;=AsOf+30,"Due in next 30 days","Later")))))</f>
        <v/>
      </c>
      <c r="H85" s="15" t="str">
        <f aca="false">IF($F85="","",$F85-AsOf)</f>
        <v/>
      </c>
      <c r="I85" s="16" t="str">
        <f aca="false">IF(AND($A85="",$B85="",$C85="",$D85="",$E85=""),"",TRIM(IF($A85="","Name missing. ","")&amp;IF($B85="","Site missing. ","")&amp;IF($D85="","Last service missing. ",IF(NOT(ISNUMBER($D85)),"Last service isn't a date. ",IF(OR($D85&lt;18264,$D85&lt;&gt;INT($D85)),"Last service isn't a valid date. ",IF($D85&gt;AsOf,"Last service is after the as-of date. ",""))))&amp;IF($E85="","Interval missing.",IF(NOT(ISNUMBER($E85)),"Interval must be a number.",IF($E85&lt;&gt;INT($E85),"Interval must be whole months.",IF(OR($E85&lt;1,$E85&gt;240),"Interval must be 1-240 months.",""))))))</f>
        <v/>
      </c>
      <c r="J85" s="17" t="str">
        <f aca="false">IF(AND($A85="",$B85="",$C85="",$D85="",$E85=""),"",IF('Due List'!$B$4="Check details",IF($G85="Check details",ROW(),""),IF('Due List'!$B$4="All records",IF($G85="Check details",ROW()/100000,$F85+ROW()/100000),IF(OR($G85="Overdue",$G85="Due today",$G85="Due in next 30 days"),$F85+ROW()/100000,""))))</f>
        <v/>
      </c>
    </row>
    <row r="86" customFormat="false" ht="15" hidden="false" customHeight="false" outlineLevel="0" collapsed="false">
      <c r="A86" s="11"/>
      <c r="B86" s="11"/>
      <c r="C86" s="11"/>
      <c r="D86" s="12"/>
      <c r="E86" s="13"/>
      <c r="F86" s="14" t="str">
        <f aca="false">IF(OR(AND($A86="",$B86="",$C86="",$D86="",$E86=""),$I86&lt;&gt;""),"",EDATE($D86,$E86))</f>
        <v/>
      </c>
      <c r="G86" s="6" t="str">
        <f aca="false">IF(AND($A86="",$B86="",$C86="",$D86="",$E86=""),"",IF($I86&lt;&gt;"","Check details",IF($F86&lt;AsOf,"Overdue",IF($F86=AsOf,"Due today",IF($F86&lt;=AsOf+30,"Due in next 30 days","Later")))))</f>
        <v/>
      </c>
      <c r="H86" s="15" t="str">
        <f aca="false">IF($F86="","",$F86-AsOf)</f>
        <v/>
      </c>
      <c r="I86" s="16" t="str">
        <f aca="false">IF(AND($A86="",$B86="",$C86="",$D86="",$E86=""),"",TRIM(IF($A86="","Name missing. ","")&amp;IF($B86="","Site missing. ","")&amp;IF($D86="","Last service missing. ",IF(NOT(ISNUMBER($D86)),"Last service isn't a date. ",IF(OR($D86&lt;18264,$D86&lt;&gt;INT($D86)),"Last service isn't a valid date. ",IF($D86&gt;AsOf,"Last service is after the as-of date. ",""))))&amp;IF($E86="","Interval missing.",IF(NOT(ISNUMBER($E86)),"Interval must be a number.",IF($E86&lt;&gt;INT($E86),"Interval must be whole months.",IF(OR($E86&lt;1,$E86&gt;240),"Interval must be 1-240 months.",""))))))</f>
        <v/>
      </c>
      <c r="J86" s="17" t="str">
        <f aca="false">IF(AND($A86="",$B86="",$C86="",$D86="",$E86=""),"",IF('Due List'!$B$4="Check details",IF($G86="Check details",ROW(),""),IF('Due List'!$B$4="All records",IF($G86="Check details",ROW()/100000,$F86+ROW()/100000),IF(OR($G86="Overdue",$G86="Due today",$G86="Due in next 30 days"),$F86+ROW()/100000,""))))</f>
        <v/>
      </c>
    </row>
    <row r="87" customFormat="false" ht="15" hidden="false" customHeight="false" outlineLevel="0" collapsed="false">
      <c r="A87" s="11"/>
      <c r="B87" s="11"/>
      <c r="C87" s="11"/>
      <c r="D87" s="12"/>
      <c r="E87" s="13"/>
      <c r="F87" s="14" t="str">
        <f aca="false">IF(OR(AND($A87="",$B87="",$C87="",$D87="",$E87=""),$I87&lt;&gt;""),"",EDATE($D87,$E87))</f>
        <v/>
      </c>
      <c r="G87" s="6" t="str">
        <f aca="false">IF(AND($A87="",$B87="",$C87="",$D87="",$E87=""),"",IF($I87&lt;&gt;"","Check details",IF($F87&lt;AsOf,"Overdue",IF($F87=AsOf,"Due today",IF($F87&lt;=AsOf+30,"Due in next 30 days","Later")))))</f>
        <v/>
      </c>
      <c r="H87" s="15" t="str">
        <f aca="false">IF($F87="","",$F87-AsOf)</f>
        <v/>
      </c>
      <c r="I87" s="16" t="str">
        <f aca="false">IF(AND($A87="",$B87="",$C87="",$D87="",$E87=""),"",TRIM(IF($A87="","Name missing. ","")&amp;IF($B87="","Site missing. ","")&amp;IF($D87="","Last service missing. ",IF(NOT(ISNUMBER($D87)),"Last service isn't a date. ",IF(OR($D87&lt;18264,$D87&lt;&gt;INT($D87)),"Last service isn't a valid date. ",IF($D87&gt;AsOf,"Last service is after the as-of date. ",""))))&amp;IF($E87="","Interval missing.",IF(NOT(ISNUMBER($E87)),"Interval must be a number.",IF($E87&lt;&gt;INT($E87),"Interval must be whole months.",IF(OR($E87&lt;1,$E87&gt;240),"Interval must be 1-240 months.",""))))))</f>
        <v/>
      </c>
      <c r="J87" s="17" t="str">
        <f aca="false">IF(AND($A87="",$B87="",$C87="",$D87="",$E87=""),"",IF('Due List'!$B$4="Check details",IF($G87="Check details",ROW(),""),IF('Due List'!$B$4="All records",IF($G87="Check details",ROW()/100000,$F87+ROW()/100000),IF(OR($G87="Overdue",$G87="Due today",$G87="Due in next 30 days"),$F87+ROW()/100000,""))))</f>
        <v/>
      </c>
    </row>
    <row r="88" customFormat="false" ht="15" hidden="false" customHeight="false" outlineLevel="0" collapsed="false">
      <c r="A88" s="11"/>
      <c r="B88" s="11"/>
      <c r="C88" s="11"/>
      <c r="D88" s="12"/>
      <c r="E88" s="13"/>
      <c r="F88" s="14" t="str">
        <f aca="false">IF(OR(AND($A88="",$B88="",$C88="",$D88="",$E88=""),$I88&lt;&gt;""),"",EDATE($D88,$E88))</f>
        <v/>
      </c>
      <c r="G88" s="6" t="str">
        <f aca="false">IF(AND($A88="",$B88="",$C88="",$D88="",$E88=""),"",IF($I88&lt;&gt;"","Check details",IF($F88&lt;AsOf,"Overdue",IF($F88=AsOf,"Due today",IF($F88&lt;=AsOf+30,"Due in next 30 days","Later")))))</f>
        <v/>
      </c>
      <c r="H88" s="15" t="str">
        <f aca="false">IF($F88="","",$F88-AsOf)</f>
        <v/>
      </c>
      <c r="I88" s="16" t="str">
        <f aca="false">IF(AND($A88="",$B88="",$C88="",$D88="",$E88=""),"",TRIM(IF($A88="","Name missing. ","")&amp;IF($B88="","Site missing. ","")&amp;IF($D88="","Last service missing. ",IF(NOT(ISNUMBER($D88)),"Last service isn't a date. ",IF(OR($D88&lt;18264,$D88&lt;&gt;INT($D88)),"Last service isn't a valid date. ",IF($D88&gt;AsOf,"Last service is after the as-of date. ",""))))&amp;IF($E88="","Interval missing.",IF(NOT(ISNUMBER($E88)),"Interval must be a number.",IF($E88&lt;&gt;INT($E88),"Interval must be whole months.",IF(OR($E88&lt;1,$E88&gt;240),"Interval must be 1-240 months.",""))))))</f>
        <v/>
      </c>
      <c r="J88" s="17" t="str">
        <f aca="false">IF(AND($A88="",$B88="",$C88="",$D88="",$E88=""),"",IF('Due List'!$B$4="Check details",IF($G88="Check details",ROW(),""),IF('Due List'!$B$4="All records",IF($G88="Check details",ROW()/100000,$F88+ROW()/100000),IF(OR($G88="Overdue",$G88="Due today",$G88="Due in next 30 days"),$F88+ROW()/100000,""))))</f>
        <v/>
      </c>
    </row>
    <row r="89" customFormat="false" ht="15" hidden="false" customHeight="false" outlineLevel="0" collapsed="false">
      <c r="A89" s="11"/>
      <c r="B89" s="11"/>
      <c r="C89" s="11"/>
      <c r="D89" s="12"/>
      <c r="E89" s="13"/>
      <c r="F89" s="14" t="str">
        <f aca="false">IF(OR(AND($A89="",$B89="",$C89="",$D89="",$E89=""),$I89&lt;&gt;""),"",EDATE($D89,$E89))</f>
        <v/>
      </c>
      <c r="G89" s="6" t="str">
        <f aca="false">IF(AND($A89="",$B89="",$C89="",$D89="",$E89=""),"",IF($I89&lt;&gt;"","Check details",IF($F89&lt;AsOf,"Overdue",IF($F89=AsOf,"Due today",IF($F89&lt;=AsOf+30,"Due in next 30 days","Later")))))</f>
        <v/>
      </c>
      <c r="H89" s="15" t="str">
        <f aca="false">IF($F89="","",$F89-AsOf)</f>
        <v/>
      </c>
      <c r="I89" s="16" t="str">
        <f aca="false">IF(AND($A89="",$B89="",$C89="",$D89="",$E89=""),"",TRIM(IF($A89="","Name missing. ","")&amp;IF($B89="","Site missing. ","")&amp;IF($D89="","Last service missing. ",IF(NOT(ISNUMBER($D89)),"Last service isn't a date. ",IF(OR($D89&lt;18264,$D89&lt;&gt;INT($D89)),"Last service isn't a valid date. ",IF($D89&gt;AsOf,"Last service is after the as-of date. ",""))))&amp;IF($E89="","Interval missing.",IF(NOT(ISNUMBER($E89)),"Interval must be a number.",IF($E89&lt;&gt;INT($E89),"Interval must be whole months.",IF(OR($E89&lt;1,$E89&gt;240),"Interval must be 1-240 months.",""))))))</f>
        <v/>
      </c>
      <c r="J89" s="17" t="str">
        <f aca="false">IF(AND($A89="",$B89="",$C89="",$D89="",$E89=""),"",IF('Due List'!$B$4="Check details",IF($G89="Check details",ROW(),""),IF('Due List'!$B$4="All records",IF($G89="Check details",ROW()/100000,$F89+ROW()/100000),IF(OR($G89="Overdue",$G89="Due today",$G89="Due in next 30 days"),$F89+ROW()/100000,""))))</f>
        <v/>
      </c>
    </row>
    <row r="90" customFormat="false" ht="15" hidden="false" customHeight="false" outlineLevel="0" collapsed="false">
      <c r="A90" s="11"/>
      <c r="B90" s="11"/>
      <c r="C90" s="11"/>
      <c r="D90" s="12"/>
      <c r="E90" s="13"/>
      <c r="F90" s="14" t="str">
        <f aca="false">IF(OR(AND($A90="",$B90="",$C90="",$D90="",$E90=""),$I90&lt;&gt;""),"",EDATE($D90,$E90))</f>
        <v/>
      </c>
      <c r="G90" s="6" t="str">
        <f aca="false">IF(AND($A90="",$B90="",$C90="",$D90="",$E90=""),"",IF($I90&lt;&gt;"","Check details",IF($F90&lt;AsOf,"Overdue",IF($F90=AsOf,"Due today",IF($F90&lt;=AsOf+30,"Due in next 30 days","Later")))))</f>
        <v/>
      </c>
      <c r="H90" s="15" t="str">
        <f aca="false">IF($F90="","",$F90-AsOf)</f>
        <v/>
      </c>
      <c r="I90" s="16" t="str">
        <f aca="false">IF(AND($A90="",$B90="",$C90="",$D90="",$E90=""),"",TRIM(IF($A90="","Name missing. ","")&amp;IF($B90="","Site missing. ","")&amp;IF($D90="","Last service missing. ",IF(NOT(ISNUMBER($D90)),"Last service isn't a date. ",IF(OR($D90&lt;18264,$D90&lt;&gt;INT($D90)),"Last service isn't a valid date. ",IF($D90&gt;AsOf,"Last service is after the as-of date. ",""))))&amp;IF($E90="","Interval missing.",IF(NOT(ISNUMBER($E90)),"Interval must be a number.",IF($E90&lt;&gt;INT($E90),"Interval must be whole months.",IF(OR($E90&lt;1,$E90&gt;240),"Interval must be 1-240 months.",""))))))</f>
        <v/>
      </c>
      <c r="J90" s="17" t="str">
        <f aca="false">IF(AND($A90="",$B90="",$C90="",$D90="",$E90=""),"",IF('Due List'!$B$4="Check details",IF($G90="Check details",ROW(),""),IF('Due List'!$B$4="All records",IF($G90="Check details",ROW()/100000,$F90+ROW()/100000),IF(OR($G90="Overdue",$G90="Due today",$G90="Due in next 30 days"),$F90+ROW()/100000,""))))</f>
        <v/>
      </c>
    </row>
    <row r="91" customFormat="false" ht="15" hidden="false" customHeight="false" outlineLevel="0" collapsed="false">
      <c r="A91" s="11"/>
      <c r="B91" s="11"/>
      <c r="C91" s="11"/>
      <c r="D91" s="12"/>
      <c r="E91" s="13"/>
      <c r="F91" s="14" t="str">
        <f aca="false">IF(OR(AND($A91="",$B91="",$C91="",$D91="",$E91=""),$I91&lt;&gt;""),"",EDATE($D91,$E91))</f>
        <v/>
      </c>
      <c r="G91" s="6" t="str">
        <f aca="false">IF(AND($A91="",$B91="",$C91="",$D91="",$E91=""),"",IF($I91&lt;&gt;"","Check details",IF($F91&lt;AsOf,"Overdue",IF($F91=AsOf,"Due today",IF($F91&lt;=AsOf+30,"Due in next 30 days","Later")))))</f>
        <v/>
      </c>
      <c r="H91" s="15" t="str">
        <f aca="false">IF($F91="","",$F91-AsOf)</f>
        <v/>
      </c>
      <c r="I91" s="16" t="str">
        <f aca="false">IF(AND($A91="",$B91="",$C91="",$D91="",$E91=""),"",TRIM(IF($A91="","Name missing. ","")&amp;IF($B91="","Site missing. ","")&amp;IF($D91="","Last service missing. ",IF(NOT(ISNUMBER($D91)),"Last service isn't a date. ",IF(OR($D91&lt;18264,$D91&lt;&gt;INT($D91)),"Last service isn't a valid date. ",IF($D91&gt;AsOf,"Last service is after the as-of date. ",""))))&amp;IF($E91="","Interval missing.",IF(NOT(ISNUMBER($E91)),"Interval must be a number.",IF($E91&lt;&gt;INT($E91),"Interval must be whole months.",IF(OR($E91&lt;1,$E91&gt;240),"Interval must be 1-240 months.",""))))))</f>
        <v/>
      </c>
      <c r="J91" s="17" t="str">
        <f aca="false">IF(AND($A91="",$B91="",$C91="",$D91="",$E91=""),"",IF('Due List'!$B$4="Check details",IF($G91="Check details",ROW(),""),IF('Due List'!$B$4="All records",IF($G91="Check details",ROW()/100000,$F91+ROW()/100000),IF(OR($G91="Overdue",$G91="Due today",$G91="Due in next 30 days"),$F91+ROW()/100000,""))))</f>
        <v/>
      </c>
    </row>
    <row r="92" customFormat="false" ht="15" hidden="false" customHeight="false" outlineLevel="0" collapsed="false">
      <c r="A92" s="11"/>
      <c r="B92" s="11"/>
      <c r="C92" s="11"/>
      <c r="D92" s="12"/>
      <c r="E92" s="13"/>
      <c r="F92" s="14" t="str">
        <f aca="false">IF(OR(AND($A92="",$B92="",$C92="",$D92="",$E92=""),$I92&lt;&gt;""),"",EDATE($D92,$E92))</f>
        <v/>
      </c>
      <c r="G92" s="6" t="str">
        <f aca="false">IF(AND($A92="",$B92="",$C92="",$D92="",$E92=""),"",IF($I92&lt;&gt;"","Check details",IF($F92&lt;AsOf,"Overdue",IF($F92=AsOf,"Due today",IF($F92&lt;=AsOf+30,"Due in next 30 days","Later")))))</f>
        <v/>
      </c>
      <c r="H92" s="15" t="str">
        <f aca="false">IF($F92="","",$F92-AsOf)</f>
        <v/>
      </c>
      <c r="I92" s="16" t="str">
        <f aca="false">IF(AND($A92="",$B92="",$C92="",$D92="",$E92=""),"",TRIM(IF($A92="","Name missing. ","")&amp;IF($B92="","Site missing. ","")&amp;IF($D92="","Last service missing. ",IF(NOT(ISNUMBER($D92)),"Last service isn't a date. ",IF(OR($D92&lt;18264,$D92&lt;&gt;INT($D92)),"Last service isn't a valid date. ",IF($D92&gt;AsOf,"Last service is after the as-of date. ",""))))&amp;IF($E92="","Interval missing.",IF(NOT(ISNUMBER($E92)),"Interval must be a number.",IF($E92&lt;&gt;INT($E92),"Interval must be whole months.",IF(OR($E92&lt;1,$E92&gt;240),"Interval must be 1-240 months.",""))))))</f>
        <v/>
      </c>
      <c r="J92" s="17" t="str">
        <f aca="false">IF(AND($A92="",$B92="",$C92="",$D92="",$E92=""),"",IF('Due List'!$B$4="Check details",IF($G92="Check details",ROW(),""),IF('Due List'!$B$4="All records",IF($G92="Check details",ROW()/100000,$F92+ROW()/100000),IF(OR($G92="Overdue",$G92="Due today",$G92="Due in next 30 days"),$F92+ROW()/100000,""))))</f>
        <v/>
      </c>
    </row>
    <row r="93" customFormat="false" ht="15" hidden="false" customHeight="false" outlineLevel="0" collapsed="false">
      <c r="A93" s="11"/>
      <c r="B93" s="11"/>
      <c r="C93" s="11"/>
      <c r="D93" s="12"/>
      <c r="E93" s="13"/>
      <c r="F93" s="14" t="str">
        <f aca="false">IF(OR(AND($A93="",$B93="",$C93="",$D93="",$E93=""),$I93&lt;&gt;""),"",EDATE($D93,$E93))</f>
        <v/>
      </c>
      <c r="G93" s="6" t="str">
        <f aca="false">IF(AND($A93="",$B93="",$C93="",$D93="",$E93=""),"",IF($I93&lt;&gt;"","Check details",IF($F93&lt;AsOf,"Overdue",IF($F93=AsOf,"Due today",IF($F93&lt;=AsOf+30,"Due in next 30 days","Later")))))</f>
        <v/>
      </c>
      <c r="H93" s="15" t="str">
        <f aca="false">IF($F93="","",$F93-AsOf)</f>
        <v/>
      </c>
      <c r="I93" s="16" t="str">
        <f aca="false">IF(AND($A93="",$B93="",$C93="",$D93="",$E93=""),"",TRIM(IF($A93="","Name missing. ","")&amp;IF($B93="","Site missing. ","")&amp;IF($D93="","Last service missing. ",IF(NOT(ISNUMBER($D93)),"Last service isn't a date. ",IF(OR($D93&lt;18264,$D93&lt;&gt;INT($D93)),"Last service isn't a valid date. ",IF($D93&gt;AsOf,"Last service is after the as-of date. ",""))))&amp;IF($E93="","Interval missing.",IF(NOT(ISNUMBER($E93)),"Interval must be a number.",IF($E93&lt;&gt;INT($E93),"Interval must be whole months.",IF(OR($E93&lt;1,$E93&gt;240),"Interval must be 1-240 months.",""))))))</f>
        <v/>
      </c>
      <c r="J93" s="17" t="str">
        <f aca="false">IF(AND($A93="",$B93="",$C93="",$D93="",$E93=""),"",IF('Due List'!$B$4="Check details",IF($G93="Check details",ROW(),""),IF('Due List'!$B$4="All records",IF($G93="Check details",ROW()/100000,$F93+ROW()/100000),IF(OR($G93="Overdue",$G93="Due today",$G93="Due in next 30 days"),$F93+ROW()/100000,""))))</f>
        <v/>
      </c>
    </row>
    <row r="94" customFormat="false" ht="15" hidden="false" customHeight="false" outlineLevel="0" collapsed="false">
      <c r="A94" s="11"/>
      <c r="B94" s="11"/>
      <c r="C94" s="11"/>
      <c r="D94" s="12"/>
      <c r="E94" s="13"/>
      <c r="F94" s="14" t="str">
        <f aca="false">IF(OR(AND($A94="",$B94="",$C94="",$D94="",$E94=""),$I94&lt;&gt;""),"",EDATE($D94,$E94))</f>
        <v/>
      </c>
      <c r="G94" s="6" t="str">
        <f aca="false">IF(AND($A94="",$B94="",$C94="",$D94="",$E94=""),"",IF($I94&lt;&gt;"","Check details",IF($F94&lt;AsOf,"Overdue",IF($F94=AsOf,"Due today",IF($F94&lt;=AsOf+30,"Due in next 30 days","Later")))))</f>
        <v/>
      </c>
      <c r="H94" s="15" t="str">
        <f aca="false">IF($F94="","",$F94-AsOf)</f>
        <v/>
      </c>
      <c r="I94" s="16" t="str">
        <f aca="false">IF(AND($A94="",$B94="",$C94="",$D94="",$E94=""),"",TRIM(IF($A94="","Name missing. ","")&amp;IF($B94="","Site missing. ","")&amp;IF($D94="","Last service missing. ",IF(NOT(ISNUMBER($D94)),"Last service isn't a date. ",IF(OR($D94&lt;18264,$D94&lt;&gt;INT($D94)),"Last service isn't a valid date. ",IF($D94&gt;AsOf,"Last service is after the as-of date. ",""))))&amp;IF($E94="","Interval missing.",IF(NOT(ISNUMBER($E94)),"Interval must be a number.",IF($E94&lt;&gt;INT($E94),"Interval must be whole months.",IF(OR($E94&lt;1,$E94&gt;240),"Interval must be 1-240 months.",""))))))</f>
        <v/>
      </c>
      <c r="J94" s="17" t="str">
        <f aca="false">IF(AND($A94="",$B94="",$C94="",$D94="",$E94=""),"",IF('Due List'!$B$4="Check details",IF($G94="Check details",ROW(),""),IF('Due List'!$B$4="All records",IF($G94="Check details",ROW()/100000,$F94+ROW()/100000),IF(OR($G94="Overdue",$G94="Due today",$G94="Due in next 30 days"),$F94+ROW()/100000,""))))</f>
        <v/>
      </c>
    </row>
    <row r="95" customFormat="false" ht="15" hidden="false" customHeight="false" outlineLevel="0" collapsed="false">
      <c r="A95" s="11"/>
      <c r="B95" s="11"/>
      <c r="C95" s="11"/>
      <c r="D95" s="12"/>
      <c r="E95" s="13"/>
      <c r="F95" s="14" t="str">
        <f aca="false">IF(OR(AND($A95="",$B95="",$C95="",$D95="",$E95=""),$I95&lt;&gt;""),"",EDATE($D95,$E95))</f>
        <v/>
      </c>
      <c r="G95" s="6" t="str">
        <f aca="false">IF(AND($A95="",$B95="",$C95="",$D95="",$E95=""),"",IF($I95&lt;&gt;"","Check details",IF($F95&lt;AsOf,"Overdue",IF($F95=AsOf,"Due today",IF($F95&lt;=AsOf+30,"Due in next 30 days","Later")))))</f>
        <v/>
      </c>
      <c r="H95" s="15" t="str">
        <f aca="false">IF($F95="","",$F95-AsOf)</f>
        <v/>
      </c>
      <c r="I95" s="16" t="str">
        <f aca="false">IF(AND($A95="",$B95="",$C95="",$D95="",$E95=""),"",TRIM(IF($A95="","Name missing. ","")&amp;IF($B95="","Site missing. ","")&amp;IF($D95="","Last service missing. ",IF(NOT(ISNUMBER($D95)),"Last service isn't a date. ",IF(OR($D95&lt;18264,$D95&lt;&gt;INT($D95)),"Last service isn't a valid date. ",IF($D95&gt;AsOf,"Last service is after the as-of date. ",""))))&amp;IF($E95="","Interval missing.",IF(NOT(ISNUMBER($E95)),"Interval must be a number.",IF($E95&lt;&gt;INT($E95),"Interval must be whole months.",IF(OR($E95&lt;1,$E95&gt;240),"Interval must be 1-240 months.",""))))))</f>
        <v/>
      </c>
      <c r="J95" s="17" t="str">
        <f aca="false">IF(AND($A95="",$B95="",$C95="",$D95="",$E95=""),"",IF('Due List'!$B$4="Check details",IF($G95="Check details",ROW(),""),IF('Due List'!$B$4="All records",IF($G95="Check details",ROW()/100000,$F95+ROW()/100000),IF(OR($G95="Overdue",$G95="Due today",$G95="Due in next 30 days"),$F95+ROW()/100000,""))))</f>
        <v/>
      </c>
    </row>
    <row r="96" customFormat="false" ht="15" hidden="false" customHeight="false" outlineLevel="0" collapsed="false">
      <c r="A96" s="11"/>
      <c r="B96" s="11"/>
      <c r="C96" s="11"/>
      <c r="D96" s="12"/>
      <c r="E96" s="13"/>
      <c r="F96" s="14" t="str">
        <f aca="false">IF(OR(AND($A96="",$B96="",$C96="",$D96="",$E96=""),$I96&lt;&gt;""),"",EDATE($D96,$E96))</f>
        <v/>
      </c>
      <c r="G96" s="6" t="str">
        <f aca="false">IF(AND($A96="",$B96="",$C96="",$D96="",$E96=""),"",IF($I96&lt;&gt;"","Check details",IF($F96&lt;AsOf,"Overdue",IF($F96=AsOf,"Due today",IF($F96&lt;=AsOf+30,"Due in next 30 days","Later")))))</f>
        <v/>
      </c>
      <c r="H96" s="15" t="str">
        <f aca="false">IF($F96="","",$F96-AsOf)</f>
        <v/>
      </c>
      <c r="I96" s="16" t="str">
        <f aca="false">IF(AND($A96="",$B96="",$C96="",$D96="",$E96=""),"",TRIM(IF($A96="","Name missing. ","")&amp;IF($B96="","Site missing. ","")&amp;IF($D96="","Last service missing. ",IF(NOT(ISNUMBER($D96)),"Last service isn't a date. ",IF(OR($D96&lt;18264,$D96&lt;&gt;INT($D96)),"Last service isn't a valid date. ",IF($D96&gt;AsOf,"Last service is after the as-of date. ",""))))&amp;IF($E96="","Interval missing.",IF(NOT(ISNUMBER($E96)),"Interval must be a number.",IF($E96&lt;&gt;INT($E96),"Interval must be whole months.",IF(OR($E96&lt;1,$E96&gt;240),"Interval must be 1-240 months.",""))))))</f>
        <v/>
      </c>
      <c r="J96" s="17" t="str">
        <f aca="false">IF(AND($A96="",$B96="",$C96="",$D96="",$E96=""),"",IF('Due List'!$B$4="Check details",IF($G96="Check details",ROW(),""),IF('Due List'!$B$4="All records",IF($G96="Check details",ROW()/100000,$F96+ROW()/100000),IF(OR($G96="Overdue",$G96="Due today",$G96="Due in next 30 days"),$F96+ROW()/100000,""))))</f>
        <v/>
      </c>
    </row>
    <row r="97" customFormat="false" ht="15" hidden="false" customHeight="false" outlineLevel="0" collapsed="false">
      <c r="A97" s="11"/>
      <c r="B97" s="11"/>
      <c r="C97" s="11"/>
      <c r="D97" s="12"/>
      <c r="E97" s="13"/>
      <c r="F97" s="14" t="str">
        <f aca="false">IF(OR(AND($A97="",$B97="",$C97="",$D97="",$E97=""),$I97&lt;&gt;""),"",EDATE($D97,$E97))</f>
        <v/>
      </c>
      <c r="G97" s="6" t="str">
        <f aca="false">IF(AND($A97="",$B97="",$C97="",$D97="",$E97=""),"",IF($I97&lt;&gt;"","Check details",IF($F97&lt;AsOf,"Overdue",IF($F97=AsOf,"Due today",IF($F97&lt;=AsOf+30,"Due in next 30 days","Later")))))</f>
        <v/>
      </c>
      <c r="H97" s="15" t="str">
        <f aca="false">IF($F97="","",$F97-AsOf)</f>
        <v/>
      </c>
      <c r="I97" s="16" t="str">
        <f aca="false">IF(AND($A97="",$B97="",$C97="",$D97="",$E97=""),"",TRIM(IF($A97="","Name missing. ","")&amp;IF($B97="","Site missing. ","")&amp;IF($D97="","Last service missing. ",IF(NOT(ISNUMBER($D97)),"Last service isn't a date. ",IF(OR($D97&lt;18264,$D97&lt;&gt;INT($D97)),"Last service isn't a valid date. ",IF($D97&gt;AsOf,"Last service is after the as-of date. ",""))))&amp;IF($E97="","Interval missing.",IF(NOT(ISNUMBER($E97)),"Interval must be a number.",IF($E97&lt;&gt;INT($E97),"Interval must be whole months.",IF(OR($E97&lt;1,$E97&gt;240),"Interval must be 1-240 months.",""))))))</f>
        <v/>
      </c>
      <c r="J97" s="17" t="str">
        <f aca="false">IF(AND($A97="",$B97="",$C97="",$D97="",$E97=""),"",IF('Due List'!$B$4="Check details",IF($G97="Check details",ROW(),""),IF('Due List'!$B$4="All records",IF($G97="Check details",ROW()/100000,$F97+ROW()/100000),IF(OR($G97="Overdue",$G97="Due today",$G97="Due in next 30 days"),$F97+ROW()/100000,""))))</f>
        <v/>
      </c>
    </row>
    <row r="98" customFormat="false" ht="15" hidden="false" customHeight="false" outlineLevel="0" collapsed="false">
      <c r="A98" s="11"/>
      <c r="B98" s="11"/>
      <c r="C98" s="11"/>
      <c r="D98" s="12"/>
      <c r="E98" s="13"/>
      <c r="F98" s="14" t="str">
        <f aca="false">IF(OR(AND($A98="",$B98="",$C98="",$D98="",$E98=""),$I98&lt;&gt;""),"",EDATE($D98,$E98))</f>
        <v/>
      </c>
      <c r="G98" s="6" t="str">
        <f aca="false">IF(AND($A98="",$B98="",$C98="",$D98="",$E98=""),"",IF($I98&lt;&gt;"","Check details",IF($F98&lt;AsOf,"Overdue",IF($F98=AsOf,"Due today",IF($F98&lt;=AsOf+30,"Due in next 30 days","Later")))))</f>
        <v/>
      </c>
      <c r="H98" s="15" t="str">
        <f aca="false">IF($F98="","",$F98-AsOf)</f>
        <v/>
      </c>
      <c r="I98" s="16" t="str">
        <f aca="false">IF(AND($A98="",$B98="",$C98="",$D98="",$E98=""),"",TRIM(IF($A98="","Name missing. ","")&amp;IF($B98="","Site missing. ","")&amp;IF($D98="","Last service missing. ",IF(NOT(ISNUMBER($D98)),"Last service isn't a date. ",IF(OR($D98&lt;18264,$D98&lt;&gt;INT($D98)),"Last service isn't a valid date. ",IF($D98&gt;AsOf,"Last service is after the as-of date. ",""))))&amp;IF($E98="","Interval missing.",IF(NOT(ISNUMBER($E98)),"Interval must be a number.",IF($E98&lt;&gt;INT($E98),"Interval must be whole months.",IF(OR($E98&lt;1,$E98&gt;240),"Interval must be 1-240 months.",""))))))</f>
        <v/>
      </c>
      <c r="J98" s="17" t="str">
        <f aca="false">IF(AND($A98="",$B98="",$C98="",$D98="",$E98=""),"",IF('Due List'!$B$4="Check details",IF($G98="Check details",ROW(),""),IF('Due List'!$B$4="All records",IF($G98="Check details",ROW()/100000,$F98+ROW()/100000),IF(OR($G98="Overdue",$G98="Due today",$G98="Due in next 30 days"),$F98+ROW()/100000,""))))</f>
        <v/>
      </c>
    </row>
    <row r="99" customFormat="false" ht="15" hidden="false" customHeight="false" outlineLevel="0" collapsed="false">
      <c r="A99" s="11"/>
      <c r="B99" s="11"/>
      <c r="C99" s="11"/>
      <c r="D99" s="12"/>
      <c r="E99" s="13"/>
      <c r="F99" s="14" t="str">
        <f aca="false">IF(OR(AND($A99="",$B99="",$C99="",$D99="",$E99=""),$I99&lt;&gt;""),"",EDATE($D99,$E99))</f>
        <v/>
      </c>
      <c r="G99" s="6" t="str">
        <f aca="false">IF(AND($A99="",$B99="",$C99="",$D99="",$E99=""),"",IF($I99&lt;&gt;"","Check details",IF($F99&lt;AsOf,"Overdue",IF($F99=AsOf,"Due today",IF($F99&lt;=AsOf+30,"Due in next 30 days","Later")))))</f>
        <v/>
      </c>
      <c r="H99" s="15" t="str">
        <f aca="false">IF($F99="","",$F99-AsOf)</f>
        <v/>
      </c>
      <c r="I99" s="16" t="str">
        <f aca="false">IF(AND($A99="",$B99="",$C99="",$D99="",$E99=""),"",TRIM(IF($A99="","Name missing. ","")&amp;IF($B99="","Site missing. ","")&amp;IF($D99="","Last service missing. ",IF(NOT(ISNUMBER($D99)),"Last service isn't a date. ",IF(OR($D99&lt;18264,$D99&lt;&gt;INT($D99)),"Last service isn't a valid date. ",IF($D99&gt;AsOf,"Last service is after the as-of date. ",""))))&amp;IF($E99="","Interval missing.",IF(NOT(ISNUMBER($E99)),"Interval must be a number.",IF($E99&lt;&gt;INT($E99),"Interval must be whole months.",IF(OR($E99&lt;1,$E99&gt;240),"Interval must be 1-240 months.",""))))))</f>
        <v/>
      </c>
      <c r="J99" s="17" t="str">
        <f aca="false">IF(AND($A99="",$B99="",$C99="",$D99="",$E99=""),"",IF('Due List'!$B$4="Check details",IF($G99="Check details",ROW(),""),IF('Due List'!$B$4="All records",IF($G99="Check details",ROW()/100000,$F99+ROW()/100000),IF(OR($G99="Overdue",$G99="Due today",$G99="Due in next 30 days"),$F99+ROW()/100000,""))))</f>
        <v/>
      </c>
    </row>
    <row r="100" customFormat="false" ht="15" hidden="false" customHeight="false" outlineLevel="0" collapsed="false">
      <c r="A100" s="11"/>
      <c r="B100" s="11"/>
      <c r="C100" s="11"/>
      <c r="D100" s="12"/>
      <c r="E100" s="13"/>
      <c r="F100" s="14" t="str">
        <f aca="false">IF(OR(AND($A100="",$B100="",$C100="",$D100="",$E100=""),$I100&lt;&gt;""),"",EDATE($D100,$E100))</f>
        <v/>
      </c>
      <c r="G100" s="6" t="str">
        <f aca="false">IF(AND($A100="",$B100="",$C100="",$D100="",$E100=""),"",IF($I100&lt;&gt;"","Check details",IF($F100&lt;AsOf,"Overdue",IF($F100=AsOf,"Due today",IF($F100&lt;=AsOf+30,"Due in next 30 days","Later")))))</f>
        <v/>
      </c>
      <c r="H100" s="15" t="str">
        <f aca="false">IF($F100="","",$F100-AsOf)</f>
        <v/>
      </c>
      <c r="I100" s="16" t="str">
        <f aca="false">IF(AND($A100="",$B100="",$C100="",$D100="",$E100=""),"",TRIM(IF($A100="","Name missing. ","")&amp;IF($B100="","Site missing. ","")&amp;IF($D100="","Last service missing. ",IF(NOT(ISNUMBER($D100)),"Last service isn't a date. ",IF(OR($D100&lt;18264,$D100&lt;&gt;INT($D100)),"Last service isn't a valid date. ",IF($D100&gt;AsOf,"Last service is after the as-of date. ",""))))&amp;IF($E100="","Interval missing.",IF(NOT(ISNUMBER($E100)),"Interval must be a number.",IF($E100&lt;&gt;INT($E100),"Interval must be whole months.",IF(OR($E100&lt;1,$E100&gt;240),"Interval must be 1-240 months.",""))))))</f>
        <v/>
      </c>
      <c r="J100" s="17" t="str">
        <f aca="false">IF(AND($A100="",$B100="",$C100="",$D100="",$E100=""),"",IF('Due List'!$B$4="Check details",IF($G100="Check details",ROW(),""),IF('Due List'!$B$4="All records",IF($G100="Check details",ROW()/100000,$F100+ROW()/100000),IF(OR($G100="Overdue",$G100="Due today",$G100="Due in next 30 days"),$F100+ROW()/100000,""))))</f>
        <v/>
      </c>
    </row>
    <row r="101" customFormat="false" ht="15" hidden="false" customHeight="false" outlineLevel="0" collapsed="false">
      <c r="A101" s="11"/>
      <c r="B101" s="11"/>
      <c r="C101" s="11"/>
      <c r="D101" s="12"/>
      <c r="E101" s="13"/>
      <c r="F101" s="14" t="str">
        <f aca="false">IF(OR(AND($A101="",$B101="",$C101="",$D101="",$E101=""),$I101&lt;&gt;""),"",EDATE($D101,$E101))</f>
        <v/>
      </c>
      <c r="G101" s="6" t="str">
        <f aca="false">IF(AND($A101="",$B101="",$C101="",$D101="",$E101=""),"",IF($I101&lt;&gt;"","Check details",IF($F101&lt;AsOf,"Overdue",IF($F101=AsOf,"Due today",IF($F101&lt;=AsOf+30,"Due in next 30 days","Later")))))</f>
        <v/>
      </c>
      <c r="H101" s="15" t="str">
        <f aca="false">IF($F101="","",$F101-AsOf)</f>
        <v/>
      </c>
      <c r="I101" s="16" t="str">
        <f aca="false">IF(AND($A101="",$B101="",$C101="",$D101="",$E101=""),"",TRIM(IF($A101="","Name missing. ","")&amp;IF($B101="","Site missing. ","")&amp;IF($D101="","Last service missing. ",IF(NOT(ISNUMBER($D101)),"Last service isn't a date. ",IF(OR($D101&lt;18264,$D101&lt;&gt;INT($D101)),"Last service isn't a valid date. ",IF($D101&gt;AsOf,"Last service is after the as-of date. ",""))))&amp;IF($E101="","Interval missing.",IF(NOT(ISNUMBER($E101)),"Interval must be a number.",IF($E101&lt;&gt;INT($E101),"Interval must be whole months.",IF(OR($E101&lt;1,$E101&gt;240),"Interval must be 1-240 months.",""))))))</f>
        <v/>
      </c>
      <c r="J101" s="17" t="str">
        <f aca="false">IF(AND($A101="",$B101="",$C101="",$D101="",$E101=""),"",IF('Due List'!$B$4="Check details",IF($G101="Check details",ROW(),""),IF('Due List'!$B$4="All records",IF($G101="Check details",ROW()/100000,$F101+ROW()/100000),IF(OR($G101="Overdue",$G101="Due today",$G101="Due in next 30 days"),$F101+ROW()/100000,""))))</f>
        <v/>
      </c>
    </row>
    <row r="102" customFormat="false" ht="15" hidden="false" customHeight="false" outlineLevel="0" collapsed="false">
      <c r="A102" s="11"/>
      <c r="B102" s="11"/>
      <c r="C102" s="11"/>
      <c r="D102" s="12"/>
      <c r="E102" s="13"/>
      <c r="F102" s="14" t="str">
        <f aca="false">IF(OR(AND($A102="",$B102="",$C102="",$D102="",$E102=""),$I102&lt;&gt;""),"",EDATE($D102,$E102))</f>
        <v/>
      </c>
      <c r="G102" s="6" t="str">
        <f aca="false">IF(AND($A102="",$B102="",$C102="",$D102="",$E102=""),"",IF($I102&lt;&gt;"","Check details",IF($F102&lt;AsOf,"Overdue",IF($F102=AsOf,"Due today",IF($F102&lt;=AsOf+30,"Due in next 30 days","Later")))))</f>
        <v/>
      </c>
      <c r="H102" s="15" t="str">
        <f aca="false">IF($F102="","",$F102-AsOf)</f>
        <v/>
      </c>
      <c r="I102" s="16" t="str">
        <f aca="false">IF(AND($A102="",$B102="",$C102="",$D102="",$E102=""),"",TRIM(IF($A102="","Name missing. ","")&amp;IF($B102="","Site missing. ","")&amp;IF($D102="","Last service missing. ",IF(NOT(ISNUMBER($D102)),"Last service isn't a date. ",IF(OR($D102&lt;18264,$D102&lt;&gt;INT($D102)),"Last service isn't a valid date. ",IF($D102&gt;AsOf,"Last service is after the as-of date. ",""))))&amp;IF($E102="","Interval missing.",IF(NOT(ISNUMBER($E102)),"Interval must be a number.",IF($E102&lt;&gt;INT($E102),"Interval must be whole months.",IF(OR($E102&lt;1,$E102&gt;240),"Interval must be 1-240 months.",""))))))</f>
        <v/>
      </c>
      <c r="J102" s="17" t="str">
        <f aca="false">IF(AND($A102="",$B102="",$C102="",$D102="",$E102=""),"",IF('Due List'!$B$4="Check details",IF($G102="Check details",ROW(),""),IF('Due List'!$B$4="All records",IF($G102="Check details",ROW()/100000,$F102+ROW()/100000),IF(OR($G102="Overdue",$G102="Due today",$G102="Due in next 30 days"),$F102+ROW()/100000,""))))</f>
        <v/>
      </c>
    </row>
    <row r="103" customFormat="false" ht="15" hidden="false" customHeight="false" outlineLevel="0" collapsed="false">
      <c r="A103" s="11"/>
      <c r="B103" s="11"/>
      <c r="C103" s="11"/>
      <c r="D103" s="12"/>
      <c r="E103" s="13"/>
      <c r="F103" s="14" t="str">
        <f aca="false">IF(OR(AND($A103="",$B103="",$C103="",$D103="",$E103=""),$I103&lt;&gt;""),"",EDATE($D103,$E103))</f>
        <v/>
      </c>
      <c r="G103" s="6" t="str">
        <f aca="false">IF(AND($A103="",$B103="",$C103="",$D103="",$E103=""),"",IF($I103&lt;&gt;"","Check details",IF($F103&lt;AsOf,"Overdue",IF($F103=AsOf,"Due today",IF($F103&lt;=AsOf+30,"Due in next 30 days","Later")))))</f>
        <v/>
      </c>
      <c r="H103" s="15" t="str">
        <f aca="false">IF($F103="","",$F103-AsOf)</f>
        <v/>
      </c>
      <c r="I103" s="16" t="str">
        <f aca="false">IF(AND($A103="",$B103="",$C103="",$D103="",$E103=""),"",TRIM(IF($A103="","Name missing. ","")&amp;IF($B103="","Site missing. ","")&amp;IF($D103="","Last service missing. ",IF(NOT(ISNUMBER($D103)),"Last service isn't a date. ",IF(OR($D103&lt;18264,$D103&lt;&gt;INT($D103)),"Last service isn't a valid date. ",IF($D103&gt;AsOf,"Last service is after the as-of date. ",""))))&amp;IF($E103="","Interval missing.",IF(NOT(ISNUMBER($E103)),"Interval must be a number.",IF($E103&lt;&gt;INT($E103),"Interval must be whole months.",IF(OR($E103&lt;1,$E103&gt;240),"Interval must be 1-240 months.",""))))))</f>
        <v/>
      </c>
      <c r="J103" s="17" t="str">
        <f aca="false">IF(AND($A103="",$B103="",$C103="",$D103="",$E103=""),"",IF('Due List'!$B$4="Check details",IF($G103="Check details",ROW(),""),IF('Due List'!$B$4="All records",IF($G103="Check details",ROW()/100000,$F103+ROW()/100000),IF(OR($G103="Overdue",$G103="Due today",$G103="Due in next 30 days"),$F103+ROW()/100000,""))))</f>
        <v/>
      </c>
    </row>
    <row r="104" customFormat="false" ht="15" hidden="false" customHeight="false" outlineLevel="0" collapsed="false">
      <c r="A104" s="11"/>
      <c r="B104" s="11"/>
      <c r="C104" s="11"/>
      <c r="D104" s="12"/>
      <c r="E104" s="13"/>
      <c r="F104" s="14" t="str">
        <f aca="false">IF(OR(AND($A104="",$B104="",$C104="",$D104="",$E104=""),$I104&lt;&gt;""),"",EDATE($D104,$E104))</f>
        <v/>
      </c>
      <c r="G104" s="6" t="str">
        <f aca="false">IF(AND($A104="",$B104="",$C104="",$D104="",$E104=""),"",IF($I104&lt;&gt;"","Check details",IF($F104&lt;AsOf,"Overdue",IF($F104=AsOf,"Due today",IF($F104&lt;=AsOf+30,"Due in next 30 days","Later")))))</f>
        <v/>
      </c>
      <c r="H104" s="15" t="str">
        <f aca="false">IF($F104="","",$F104-AsOf)</f>
        <v/>
      </c>
      <c r="I104" s="16" t="str">
        <f aca="false">IF(AND($A104="",$B104="",$C104="",$D104="",$E104=""),"",TRIM(IF($A104="","Name missing. ","")&amp;IF($B104="","Site missing. ","")&amp;IF($D104="","Last service missing. ",IF(NOT(ISNUMBER($D104)),"Last service isn't a date. ",IF(OR($D104&lt;18264,$D104&lt;&gt;INT($D104)),"Last service isn't a valid date. ",IF($D104&gt;AsOf,"Last service is after the as-of date. ",""))))&amp;IF($E104="","Interval missing.",IF(NOT(ISNUMBER($E104)),"Interval must be a number.",IF($E104&lt;&gt;INT($E104),"Interval must be whole months.",IF(OR($E104&lt;1,$E104&gt;240),"Interval must be 1-240 months.",""))))))</f>
        <v/>
      </c>
      <c r="J104" s="17" t="str">
        <f aca="false">IF(AND($A104="",$B104="",$C104="",$D104="",$E104=""),"",IF('Due List'!$B$4="Check details",IF($G104="Check details",ROW(),""),IF('Due List'!$B$4="All records",IF($G104="Check details",ROW()/100000,$F104+ROW()/100000),IF(OR($G104="Overdue",$G104="Due today",$G104="Due in next 30 days"),$F104+ROW()/100000,""))))</f>
        <v/>
      </c>
    </row>
    <row r="105" customFormat="false" ht="15" hidden="false" customHeight="false" outlineLevel="0" collapsed="false">
      <c r="A105" s="11"/>
      <c r="B105" s="11"/>
      <c r="C105" s="11"/>
      <c r="D105" s="12"/>
      <c r="E105" s="13"/>
      <c r="F105" s="14" t="str">
        <f aca="false">IF(OR(AND($A105="",$B105="",$C105="",$D105="",$E105=""),$I105&lt;&gt;""),"",EDATE($D105,$E105))</f>
        <v/>
      </c>
      <c r="G105" s="6" t="str">
        <f aca="false">IF(AND($A105="",$B105="",$C105="",$D105="",$E105=""),"",IF($I105&lt;&gt;"","Check details",IF($F105&lt;AsOf,"Overdue",IF($F105=AsOf,"Due today",IF($F105&lt;=AsOf+30,"Due in next 30 days","Later")))))</f>
        <v/>
      </c>
      <c r="H105" s="15" t="str">
        <f aca="false">IF($F105="","",$F105-AsOf)</f>
        <v/>
      </c>
      <c r="I105" s="16" t="str">
        <f aca="false">IF(AND($A105="",$B105="",$C105="",$D105="",$E105=""),"",TRIM(IF($A105="","Name missing. ","")&amp;IF($B105="","Site missing. ","")&amp;IF($D105="","Last service missing. ",IF(NOT(ISNUMBER($D105)),"Last service isn't a date. ",IF(OR($D105&lt;18264,$D105&lt;&gt;INT($D105)),"Last service isn't a valid date. ",IF($D105&gt;AsOf,"Last service is after the as-of date. ",""))))&amp;IF($E105="","Interval missing.",IF(NOT(ISNUMBER($E105)),"Interval must be a number.",IF($E105&lt;&gt;INT($E105),"Interval must be whole months.",IF(OR($E105&lt;1,$E105&gt;240),"Interval must be 1-240 months.",""))))))</f>
        <v/>
      </c>
      <c r="J105" s="17" t="str">
        <f aca="false">IF(AND($A105="",$B105="",$C105="",$D105="",$E105=""),"",IF('Due List'!$B$4="Check details",IF($G105="Check details",ROW(),""),IF('Due List'!$B$4="All records",IF($G105="Check details",ROW()/100000,$F105+ROW()/100000),IF(OR($G105="Overdue",$G105="Due today",$G105="Due in next 30 days"),$F105+ROW()/100000,""))))</f>
        <v/>
      </c>
    </row>
    <row r="106" customFormat="false" ht="15" hidden="false" customHeight="false" outlineLevel="0" collapsed="false">
      <c r="A106" s="11"/>
      <c r="B106" s="11"/>
      <c r="C106" s="11"/>
      <c r="D106" s="12"/>
      <c r="E106" s="13"/>
      <c r="F106" s="14" t="str">
        <f aca="false">IF(OR(AND($A106="",$B106="",$C106="",$D106="",$E106=""),$I106&lt;&gt;""),"",EDATE($D106,$E106))</f>
        <v/>
      </c>
      <c r="G106" s="6" t="str">
        <f aca="false">IF(AND($A106="",$B106="",$C106="",$D106="",$E106=""),"",IF($I106&lt;&gt;"","Check details",IF($F106&lt;AsOf,"Overdue",IF($F106=AsOf,"Due today",IF($F106&lt;=AsOf+30,"Due in next 30 days","Later")))))</f>
        <v/>
      </c>
      <c r="H106" s="15" t="str">
        <f aca="false">IF($F106="","",$F106-AsOf)</f>
        <v/>
      </c>
      <c r="I106" s="16" t="str">
        <f aca="false">IF(AND($A106="",$B106="",$C106="",$D106="",$E106=""),"",TRIM(IF($A106="","Name missing. ","")&amp;IF($B106="","Site missing. ","")&amp;IF($D106="","Last service missing. ",IF(NOT(ISNUMBER($D106)),"Last service isn't a date. ",IF(OR($D106&lt;18264,$D106&lt;&gt;INT($D106)),"Last service isn't a valid date. ",IF($D106&gt;AsOf,"Last service is after the as-of date. ",""))))&amp;IF($E106="","Interval missing.",IF(NOT(ISNUMBER($E106)),"Interval must be a number.",IF($E106&lt;&gt;INT($E106),"Interval must be whole months.",IF(OR($E106&lt;1,$E106&gt;240),"Interval must be 1-240 months.",""))))))</f>
        <v/>
      </c>
      <c r="J106" s="17" t="str">
        <f aca="false">IF(AND($A106="",$B106="",$C106="",$D106="",$E106=""),"",IF('Due List'!$B$4="Check details",IF($G106="Check details",ROW(),""),IF('Due List'!$B$4="All records",IF($G106="Check details",ROW()/100000,$F106+ROW()/100000),IF(OR($G106="Overdue",$G106="Due today",$G106="Due in next 30 days"),$F106+ROW()/100000,""))))</f>
        <v/>
      </c>
    </row>
    <row r="107" customFormat="false" ht="15" hidden="false" customHeight="false" outlineLevel="0" collapsed="false">
      <c r="A107" s="11"/>
      <c r="B107" s="11"/>
      <c r="C107" s="11"/>
      <c r="D107" s="12"/>
      <c r="E107" s="13"/>
      <c r="F107" s="14" t="str">
        <f aca="false">IF(OR(AND($A107="",$B107="",$C107="",$D107="",$E107=""),$I107&lt;&gt;""),"",EDATE($D107,$E107))</f>
        <v/>
      </c>
      <c r="G107" s="6" t="str">
        <f aca="false">IF(AND($A107="",$B107="",$C107="",$D107="",$E107=""),"",IF($I107&lt;&gt;"","Check details",IF($F107&lt;AsOf,"Overdue",IF($F107=AsOf,"Due today",IF($F107&lt;=AsOf+30,"Due in next 30 days","Later")))))</f>
        <v/>
      </c>
      <c r="H107" s="15" t="str">
        <f aca="false">IF($F107="","",$F107-AsOf)</f>
        <v/>
      </c>
      <c r="I107" s="16" t="str">
        <f aca="false">IF(AND($A107="",$B107="",$C107="",$D107="",$E107=""),"",TRIM(IF($A107="","Name missing. ","")&amp;IF($B107="","Site missing. ","")&amp;IF($D107="","Last service missing. ",IF(NOT(ISNUMBER($D107)),"Last service isn't a date. ",IF(OR($D107&lt;18264,$D107&lt;&gt;INT($D107)),"Last service isn't a valid date. ",IF($D107&gt;AsOf,"Last service is after the as-of date. ",""))))&amp;IF($E107="","Interval missing.",IF(NOT(ISNUMBER($E107)),"Interval must be a number.",IF($E107&lt;&gt;INT($E107),"Interval must be whole months.",IF(OR($E107&lt;1,$E107&gt;240),"Interval must be 1-240 months.",""))))))</f>
        <v/>
      </c>
      <c r="J107" s="17" t="str">
        <f aca="false">IF(AND($A107="",$B107="",$C107="",$D107="",$E107=""),"",IF('Due List'!$B$4="Check details",IF($G107="Check details",ROW(),""),IF('Due List'!$B$4="All records",IF($G107="Check details",ROW()/100000,$F107+ROW()/100000),IF(OR($G107="Overdue",$G107="Due today",$G107="Due in next 30 days"),$F107+ROW()/100000,""))))</f>
        <v/>
      </c>
    </row>
    <row r="108" customFormat="false" ht="15" hidden="false" customHeight="false" outlineLevel="0" collapsed="false">
      <c r="A108" s="11"/>
      <c r="B108" s="11"/>
      <c r="C108" s="11"/>
      <c r="D108" s="12"/>
      <c r="E108" s="13"/>
      <c r="F108" s="14" t="str">
        <f aca="false">IF(OR(AND($A108="",$B108="",$C108="",$D108="",$E108=""),$I108&lt;&gt;""),"",EDATE($D108,$E108))</f>
        <v/>
      </c>
      <c r="G108" s="6" t="str">
        <f aca="false">IF(AND($A108="",$B108="",$C108="",$D108="",$E108=""),"",IF($I108&lt;&gt;"","Check details",IF($F108&lt;AsOf,"Overdue",IF($F108=AsOf,"Due today",IF($F108&lt;=AsOf+30,"Due in next 30 days","Later")))))</f>
        <v/>
      </c>
      <c r="H108" s="15" t="str">
        <f aca="false">IF($F108="","",$F108-AsOf)</f>
        <v/>
      </c>
      <c r="I108" s="16" t="str">
        <f aca="false">IF(AND($A108="",$B108="",$C108="",$D108="",$E108=""),"",TRIM(IF($A108="","Name missing. ","")&amp;IF($B108="","Site missing. ","")&amp;IF($D108="","Last service missing. ",IF(NOT(ISNUMBER($D108)),"Last service isn't a date. ",IF(OR($D108&lt;18264,$D108&lt;&gt;INT($D108)),"Last service isn't a valid date. ",IF($D108&gt;AsOf,"Last service is after the as-of date. ",""))))&amp;IF($E108="","Interval missing.",IF(NOT(ISNUMBER($E108)),"Interval must be a number.",IF($E108&lt;&gt;INT($E108),"Interval must be whole months.",IF(OR($E108&lt;1,$E108&gt;240),"Interval must be 1-240 months.",""))))))</f>
        <v/>
      </c>
      <c r="J108" s="17" t="str">
        <f aca="false">IF(AND($A108="",$B108="",$C108="",$D108="",$E108=""),"",IF('Due List'!$B$4="Check details",IF($G108="Check details",ROW(),""),IF('Due List'!$B$4="All records",IF($G108="Check details",ROW()/100000,$F108+ROW()/100000),IF(OR($G108="Overdue",$G108="Due today",$G108="Due in next 30 days"),$F108+ROW()/100000,""))))</f>
        <v/>
      </c>
    </row>
    <row r="109" customFormat="false" ht="15" hidden="false" customHeight="false" outlineLevel="0" collapsed="false">
      <c r="A109" s="11"/>
      <c r="B109" s="11"/>
      <c r="C109" s="11"/>
      <c r="D109" s="12"/>
      <c r="E109" s="13"/>
      <c r="F109" s="14" t="str">
        <f aca="false">IF(OR(AND($A109="",$B109="",$C109="",$D109="",$E109=""),$I109&lt;&gt;""),"",EDATE($D109,$E109))</f>
        <v/>
      </c>
      <c r="G109" s="6" t="str">
        <f aca="false">IF(AND($A109="",$B109="",$C109="",$D109="",$E109=""),"",IF($I109&lt;&gt;"","Check details",IF($F109&lt;AsOf,"Overdue",IF($F109=AsOf,"Due today",IF($F109&lt;=AsOf+30,"Due in next 30 days","Later")))))</f>
        <v/>
      </c>
      <c r="H109" s="15" t="str">
        <f aca="false">IF($F109="","",$F109-AsOf)</f>
        <v/>
      </c>
      <c r="I109" s="16" t="str">
        <f aca="false">IF(AND($A109="",$B109="",$C109="",$D109="",$E109=""),"",TRIM(IF($A109="","Name missing. ","")&amp;IF($B109="","Site missing. ","")&amp;IF($D109="","Last service missing. ",IF(NOT(ISNUMBER($D109)),"Last service isn't a date. ",IF(OR($D109&lt;18264,$D109&lt;&gt;INT($D109)),"Last service isn't a valid date. ",IF($D109&gt;AsOf,"Last service is after the as-of date. ",""))))&amp;IF($E109="","Interval missing.",IF(NOT(ISNUMBER($E109)),"Interval must be a number.",IF($E109&lt;&gt;INT($E109),"Interval must be whole months.",IF(OR($E109&lt;1,$E109&gt;240),"Interval must be 1-240 months.",""))))))</f>
        <v/>
      </c>
      <c r="J109" s="17" t="str">
        <f aca="false">IF(AND($A109="",$B109="",$C109="",$D109="",$E109=""),"",IF('Due List'!$B$4="Check details",IF($G109="Check details",ROW(),""),IF('Due List'!$B$4="All records",IF($G109="Check details",ROW()/100000,$F109+ROW()/100000),IF(OR($G109="Overdue",$G109="Due today",$G109="Due in next 30 days"),$F109+ROW()/100000,""))))</f>
        <v/>
      </c>
    </row>
    <row r="110" customFormat="false" ht="15" hidden="false" customHeight="false" outlineLevel="0" collapsed="false">
      <c r="A110" s="11"/>
      <c r="B110" s="11"/>
      <c r="C110" s="11"/>
      <c r="D110" s="12"/>
      <c r="E110" s="13"/>
      <c r="F110" s="14" t="str">
        <f aca="false">IF(OR(AND($A110="",$B110="",$C110="",$D110="",$E110=""),$I110&lt;&gt;""),"",EDATE($D110,$E110))</f>
        <v/>
      </c>
      <c r="G110" s="6" t="str">
        <f aca="false">IF(AND($A110="",$B110="",$C110="",$D110="",$E110=""),"",IF($I110&lt;&gt;"","Check details",IF($F110&lt;AsOf,"Overdue",IF($F110=AsOf,"Due today",IF($F110&lt;=AsOf+30,"Due in next 30 days","Later")))))</f>
        <v/>
      </c>
      <c r="H110" s="15" t="str">
        <f aca="false">IF($F110="","",$F110-AsOf)</f>
        <v/>
      </c>
      <c r="I110" s="16" t="str">
        <f aca="false">IF(AND($A110="",$B110="",$C110="",$D110="",$E110=""),"",TRIM(IF($A110="","Name missing. ","")&amp;IF($B110="","Site missing. ","")&amp;IF($D110="","Last service missing. ",IF(NOT(ISNUMBER($D110)),"Last service isn't a date. ",IF(OR($D110&lt;18264,$D110&lt;&gt;INT($D110)),"Last service isn't a valid date. ",IF($D110&gt;AsOf,"Last service is after the as-of date. ",""))))&amp;IF($E110="","Interval missing.",IF(NOT(ISNUMBER($E110)),"Interval must be a number.",IF($E110&lt;&gt;INT($E110),"Interval must be whole months.",IF(OR($E110&lt;1,$E110&gt;240),"Interval must be 1-240 months.",""))))))</f>
        <v/>
      </c>
      <c r="J110" s="17" t="str">
        <f aca="false">IF(AND($A110="",$B110="",$C110="",$D110="",$E110=""),"",IF('Due List'!$B$4="Check details",IF($G110="Check details",ROW(),""),IF('Due List'!$B$4="All records",IF($G110="Check details",ROW()/100000,$F110+ROW()/100000),IF(OR($G110="Overdue",$G110="Due today",$G110="Due in next 30 days"),$F110+ROW()/100000,""))))</f>
        <v/>
      </c>
    </row>
    <row r="111" customFormat="false" ht="15" hidden="false" customHeight="false" outlineLevel="0" collapsed="false">
      <c r="A111" s="11"/>
      <c r="B111" s="11"/>
      <c r="C111" s="11"/>
      <c r="D111" s="12"/>
      <c r="E111" s="13"/>
      <c r="F111" s="14" t="str">
        <f aca="false">IF(OR(AND($A111="",$B111="",$C111="",$D111="",$E111=""),$I111&lt;&gt;""),"",EDATE($D111,$E111))</f>
        <v/>
      </c>
      <c r="G111" s="6" t="str">
        <f aca="false">IF(AND($A111="",$B111="",$C111="",$D111="",$E111=""),"",IF($I111&lt;&gt;"","Check details",IF($F111&lt;AsOf,"Overdue",IF($F111=AsOf,"Due today",IF($F111&lt;=AsOf+30,"Due in next 30 days","Later")))))</f>
        <v/>
      </c>
      <c r="H111" s="15" t="str">
        <f aca="false">IF($F111="","",$F111-AsOf)</f>
        <v/>
      </c>
      <c r="I111" s="16" t="str">
        <f aca="false">IF(AND($A111="",$B111="",$C111="",$D111="",$E111=""),"",TRIM(IF($A111="","Name missing. ","")&amp;IF($B111="","Site missing. ","")&amp;IF($D111="","Last service missing. ",IF(NOT(ISNUMBER($D111)),"Last service isn't a date. ",IF(OR($D111&lt;18264,$D111&lt;&gt;INT($D111)),"Last service isn't a valid date. ",IF($D111&gt;AsOf,"Last service is after the as-of date. ",""))))&amp;IF($E111="","Interval missing.",IF(NOT(ISNUMBER($E111)),"Interval must be a number.",IF($E111&lt;&gt;INT($E111),"Interval must be whole months.",IF(OR($E111&lt;1,$E111&gt;240),"Interval must be 1-240 months.",""))))))</f>
        <v/>
      </c>
      <c r="J111" s="17" t="str">
        <f aca="false">IF(AND($A111="",$B111="",$C111="",$D111="",$E111=""),"",IF('Due List'!$B$4="Check details",IF($G111="Check details",ROW(),""),IF('Due List'!$B$4="All records",IF($G111="Check details",ROW()/100000,$F111+ROW()/100000),IF(OR($G111="Overdue",$G111="Due today",$G111="Due in next 30 days"),$F111+ROW()/100000,""))))</f>
        <v/>
      </c>
    </row>
    <row r="112" customFormat="false" ht="15" hidden="false" customHeight="false" outlineLevel="0" collapsed="false">
      <c r="A112" s="11"/>
      <c r="B112" s="11"/>
      <c r="C112" s="11"/>
      <c r="D112" s="12"/>
      <c r="E112" s="13"/>
      <c r="F112" s="14" t="str">
        <f aca="false">IF(OR(AND($A112="",$B112="",$C112="",$D112="",$E112=""),$I112&lt;&gt;""),"",EDATE($D112,$E112))</f>
        <v/>
      </c>
      <c r="G112" s="6" t="str">
        <f aca="false">IF(AND($A112="",$B112="",$C112="",$D112="",$E112=""),"",IF($I112&lt;&gt;"","Check details",IF($F112&lt;AsOf,"Overdue",IF($F112=AsOf,"Due today",IF($F112&lt;=AsOf+30,"Due in next 30 days","Later")))))</f>
        <v/>
      </c>
      <c r="H112" s="15" t="str">
        <f aca="false">IF($F112="","",$F112-AsOf)</f>
        <v/>
      </c>
      <c r="I112" s="16" t="str">
        <f aca="false">IF(AND($A112="",$B112="",$C112="",$D112="",$E112=""),"",TRIM(IF($A112="","Name missing. ","")&amp;IF($B112="","Site missing. ","")&amp;IF($D112="","Last service missing. ",IF(NOT(ISNUMBER($D112)),"Last service isn't a date. ",IF(OR($D112&lt;18264,$D112&lt;&gt;INT($D112)),"Last service isn't a valid date. ",IF($D112&gt;AsOf,"Last service is after the as-of date. ",""))))&amp;IF($E112="","Interval missing.",IF(NOT(ISNUMBER($E112)),"Interval must be a number.",IF($E112&lt;&gt;INT($E112),"Interval must be whole months.",IF(OR($E112&lt;1,$E112&gt;240),"Interval must be 1-240 months.",""))))))</f>
        <v/>
      </c>
      <c r="J112" s="17" t="str">
        <f aca="false">IF(AND($A112="",$B112="",$C112="",$D112="",$E112=""),"",IF('Due List'!$B$4="Check details",IF($G112="Check details",ROW(),""),IF('Due List'!$B$4="All records",IF($G112="Check details",ROW()/100000,$F112+ROW()/100000),IF(OR($G112="Overdue",$G112="Due today",$G112="Due in next 30 days"),$F112+ROW()/100000,""))))</f>
        <v/>
      </c>
    </row>
    <row r="113" customFormat="false" ht="15" hidden="false" customHeight="false" outlineLevel="0" collapsed="false">
      <c r="A113" s="11"/>
      <c r="B113" s="11"/>
      <c r="C113" s="11"/>
      <c r="D113" s="12"/>
      <c r="E113" s="13"/>
      <c r="F113" s="14" t="str">
        <f aca="false">IF(OR(AND($A113="",$B113="",$C113="",$D113="",$E113=""),$I113&lt;&gt;""),"",EDATE($D113,$E113))</f>
        <v/>
      </c>
      <c r="G113" s="6" t="str">
        <f aca="false">IF(AND($A113="",$B113="",$C113="",$D113="",$E113=""),"",IF($I113&lt;&gt;"","Check details",IF($F113&lt;AsOf,"Overdue",IF($F113=AsOf,"Due today",IF($F113&lt;=AsOf+30,"Due in next 30 days","Later")))))</f>
        <v/>
      </c>
      <c r="H113" s="15" t="str">
        <f aca="false">IF($F113="","",$F113-AsOf)</f>
        <v/>
      </c>
      <c r="I113" s="16" t="str">
        <f aca="false">IF(AND($A113="",$B113="",$C113="",$D113="",$E113=""),"",TRIM(IF($A113="","Name missing. ","")&amp;IF($B113="","Site missing. ","")&amp;IF($D113="","Last service missing. ",IF(NOT(ISNUMBER($D113)),"Last service isn't a date. ",IF(OR($D113&lt;18264,$D113&lt;&gt;INT($D113)),"Last service isn't a valid date. ",IF($D113&gt;AsOf,"Last service is after the as-of date. ",""))))&amp;IF($E113="","Interval missing.",IF(NOT(ISNUMBER($E113)),"Interval must be a number.",IF($E113&lt;&gt;INT($E113),"Interval must be whole months.",IF(OR($E113&lt;1,$E113&gt;240),"Interval must be 1-240 months.",""))))))</f>
        <v/>
      </c>
      <c r="J113" s="17" t="str">
        <f aca="false">IF(AND($A113="",$B113="",$C113="",$D113="",$E113=""),"",IF('Due List'!$B$4="Check details",IF($G113="Check details",ROW(),""),IF('Due List'!$B$4="All records",IF($G113="Check details",ROW()/100000,$F113+ROW()/100000),IF(OR($G113="Overdue",$G113="Due today",$G113="Due in next 30 days"),$F113+ROW()/100000,""))))</f>
        <v/>
      </c>
    </row>
    <row r="114" customFormat="false" ht="15" hidden="false" customHeight="false" outlineLevel="0" collapsed="false">
      <c r="A114" s="11"/>
      <c r="B114" s="11"/>
      <c r="C114" s="11"/>
      <c r="D114" s="12"/>
      <c r="E114" s="13"/>
      <c r="F114" s="14" t="str">
        <f aca="false">IF(OR(AND($A114="",$B114="",$C114="",$D114="",$E114=""),$I114&lt;&gt;""),"",EDATE($D114,$E114))</f>
        <v/>
      </c>
      <c r="G114" s="6" t="str">
        <f aca="false">IF(AND($A114="",$B114="",$C114="",$D114="",$E114=""),"",IF($I114&lt;&gt;"","Check details",IF($F114&lt;AsOf,"Overdue",IF($F114=AsOf,"Due today",IF($F114&lt;=AsOf+30,"Due in next 30 days","Later")))))</f>
        <v/>
      </c>
      <c r="H114" s="15" t="str">
        <f aca="false">IF($F114="","",$F114-AsOf)</f>
        <v/>
      </c>
      <c r="I114" s="16" t="str">
        <f aca="false">IF(AND($A114="",$B114="",$C114="",$D114="",$E114=""),"",TRIM(IF($A114="","Name missing. ","")&amp;IF($B114="","Site missing. ","")&amp;IF($D114="","Last service missing. ",IF(NOT(ISNUMBER($D114)),"Last service isn't a date. ",IF(OR($D114&lt;18264,$D114&lt;&gt;INT($D114)),"Last service isn't a valid date. ",IF($D114&gt;AsOf,"Last service is after the as-of date. ",""))))&amp;IF($E114="","Interval missing.",IF(NOT(ISNUMBER($E114)),"Interval must be a number.",IF($E114&lt;&gt;INT($E114),"Interval must be whole months.",IF(OR($E114&lt;1,$E114&gt;240),"Interval must be 1-240 months.",""))))))</f>
        <v/>
      </c>
      <c r="J114" s="17" t="str">
        <f aca="false">IF(AND($A114="",$B114="",$C114="",$D114="",$E114=""),"",IF('Due List'!$B$4="Check details",IF($G114="Check details",ROW(),""),IF('Due List'!$B$4="All records",IF($G114="Check details",ROW()/100000,$F114+ROW()/100000),IF(OR($G114="Overdue",$G114="Due today",$G114="Due in next 30 days"),$F114+ROW()/100000,""))))</f>
        <v/>
      </c>
    </row>
    <row r="115" customFormat="false" ht="15" hidden="false" customHeight="false" outlineLevel="0" collapsed="false">
      <c r="A115" s="11"/>
      <c r="B115" s="11"/>
      <c r="C115" s="11"/>
      <c r="D115" s="12"/>
      <c r="E115" s="13"/>
      <c r="F115" s="14" t="str">
        <f aca="false">IF(OR(AND($A115="",$B115="",$C115="",$D115="",$E115=""),$I115&lt;&gt;""),"",EDATE($D115,$E115))</f>
        <v/>
      </c>
      <c r="G115" s="6" t="str">
        <f aca="false">IF(AND($A115="",$B115="",$C115="",$D115="",$E115=""),"",IF($I115&lt;&gt;"","Check details",IF($F115&lt;AsOf,"Overdue",IF($F115=AsOf,"Due today",IF($F115&lt;=AsOf+30,"Due in next 30 days","Later")))))</f>
        <v/>
      </c>
      <c r="H115" s="15" t="str">
        <f aca="false">IF($F115="","",$F115-AsOf)</f>
        <v/>
      </c>
      <c r="I115" s="16" t="str">
        <f aca="false">IF(AND($A115="",$B115="",$C115="",$D115="",$E115=""),"",TRIM(IF($A115="","Name missing. ","")&amp;IF($B115="","Site missing. ","")&amp;IF($D115="","Last service missing. ",IF(NOT(ISNUMBER($D115)),"Last service isn't a date. ",IF(OR($D115&lt;18264,$D115&lt;&gt;INT($D115)),"Last service isn't a valid date. ",IF($D115&gt;AsOf,"Last service is after the as-of date. ",""))))&amp;IF($E115="","Interval missing.",IF(NOT(ISNUMBER($E115)),"Interval must be a number.",IF($E115&lt;&gt;INT($E115),"Interval must be whole months.",IF(OR($E115&lt;1,$E115&gt;240),"Interval must be 1-240 months.",""))))))</f>
        <v/>
      </c>
      <c r="J115" s="17" t="str">
        <f aca="false">IF(AND($A115="",$B115="",$C115="",$D115="",$E115=""),"",IF('Due List'!$B$4="Check details",IF($G115="Check details",ROW(),""),IF('Due List'!$B$4="All records",IF($G115="Check details",ROW()/100000,$F115+ROW()/100000),IF(OR($G115="Overdue",$G115="Due today",$G115="Due in next 30 days"),$F115+ROW()/100000,""))))</f>
        <v/>
      </c>
    </row>
    <row r="116" customFormat="false" ht="15" hidden="false" customHeight="false" outlineLevel="0" collapsed="false">
      <c r="A116" s="11"/>
      <c r="B116" s="11"/>
      <c r="C116" s="11"/>
      <c r="D116" s="12"/>
      <c r="E116" s="13"/>
      <c r="F116" s="14" t="str">
        <f aca="false">IF(OR(AND($A116="",$B116="",$C116="",$D116="",$E116=""),$I116&lt;&gt;""),"",EDATE($D116,$E116))</f>
        <v/>
      </c>
      <c r="G116" s="6" t="str">
        <f aca="false">IF(AND($A116="",$B116="",$C116="",$D116="",$E116=""),"",IF($I116&lt;&gt;"","Check details",IF($F116&lt;AsOf,"Overdue",IF($F116=AsOf,"Due today",IF($F116&lt;=AsOf+30,"Due in next 30 days","Later")))))</f>
        <v/>
      </c>
      <c r="H116" s="15" t="str">
        <f aca="false">IF($F116="","",$F116-AsOf)</f>
        <v/>
      </c>
      <c r="I116" s="16" t="str">
        <f aca="false">IF(AND($A116="",$B116="",$C116="",$D116="",$E116=""),"",TRIM(IF($A116="","Name missing. ","")&amp;IF($B116="","Site missing. ","")&amp;IF($D116="","Last service missing. ",IF(NOT(ISNUMBER($D116)),"Last service isn't a date. ",IF(OR($D116&lt;18264,$D116&lt;&gt;INT($D116)),"Last service isn't a valid date. ",IF($D116&gt;AsOf,"Last service is after the as-of date. ",""))))&amp;IF($E116="","Interval missing.",IF(NOT(ISNUMBER($E116)),"Interval must be a number.",IF($E116&lt;&gt;INT($E116),"Interval must be whole months.",IF(OR($E116&lt;1,$E116&gt;240),"Interval must be 1-240 months.",""))))))</f>
        <v/>
      </c>
      <c r="J116" s="17" t="str">
        <f aca="false">IF(AND($A116="",$B116="",$C116="",$D116="",$E116=""),"",IF('Due List'!$B$4="Check details",IF($G116="Check details",ROW(),""),IF('Due List'!$B$4="All records",IF($G116="Check details",ROW()/100000,$F116+ROW()/100000),IF(OR($G116="Overdue",$G116="Due today",$G116="Due in next 30 days"),$F116+ROW()/100000,""))))</f>
        <v/>
      </c>
    </row>
    <row r="117" customFormat="false" ht="15" hidden="false" customHeight="false" outlineLevel="0" collapsed="false">
      <c r="A117" s="11"/>
      <c r="B117" s="11"/>
      <c r="C117" s="11"/>
      <c r="D117" s="12"/>
      <c r="E117" s="13"/>
      <c r="F117" s="14" t="str">
        <f aca="false">IF(OR(AND($A117="",$B117="",$C117="",$D117="",$E117=""),$I117&lt;&gt;""),"",EDATE($D117,$E117))</f>
        <v/>
      </c>
      <c r="G117" s="6" t="str">
        <f aca="false">IF(AND($A117="",$B117="",$C117="",$D117="",$E117=""),"",IF($I117&lt;&gt;"","Check details",IF($F117&lt;AsOf,"Overdue",IF($F117=AsOf,"Due today",IF($F117&lt;=AsOf+30,"Due in next 30 days","Later")))))</f>
        <v/>
      </c>
      <c r="H117" s="15" t="str">
        <f aca="false">IF($F117="","",$F117-AsOf)</f>
        <v/>
      </c>
      <c r="I117" s="16" t="str">
        <f aca="false">IF(AND($A117="",$B117="",$C117="",$D117="",$E117=""),"",TRIM(IF($A117="","Name missing. ","")&amp;IF($B117="","Site missing. ","")&amp;IF($D117="","Last service missing. ",IF(NOT(ISNUMBER($D117)),"Last service isn't a date. ",IF(OR($D117&lt;18264,$D117&lt;&gt;INT($D117)),"Last service isn't a valid date. ",IF($D117&gt;AsOf,"Last service is after the as-of date. ",""))))&amp;IF($E117="","Interval missing.",IF(NOT(ISNUMBER($E117)),"Interval must be a number.",IF($E117&lt;&gt;INT($E117),"Interval must be whole months.",IF(OR($E117&lt;1,$E117&gt;240),"Interval must be 1-240 months.",""))))))</f>
        <v/>
      </c>
      <c r="J117" s="17" t="str">
        <f aca="false">IF(AND($A117="",$B117="",$C117="",$D117="",$E117=""),"",IF('Due List'!$B$4="Check details",IF($G117="Check details",ROW(),""),IF('Due List'!$B$4="All records",IF($G117="Check details",ROW()/100000,$F117+ROW()/100000),IF(OR($G117="Overdue",$G117="Due today",$G117="Due in next 30 days"),$F117+ROW()/100000,""))))</f>
        <v/>
      </c>
    </row>
    <row r="118" customFormat="false" ht="15" hidden="false" customHeight="false" outlineLevel="0" collapsed="false">
      <c r="A118" s="11"/>
      <c r="B118" s="11"/>
      <c r="C118" s="11"/>
      <c r="D118" s="12"/>
      <c r="E118" s="13"/>
      <c r="F118" s="14" t="str">
        <f aca="false">IF(OR(AND($A118="",$B118="",$C118="",$D118="",$E118=""),$I118&lt;&gt;""),"",EDATE($D118,$E118))</f>
        <v/>
      </c>
      <c r="G118" s="6" t="str">
        <f aca="false">IF(AND($A118="",$B118="",$C118="",$D118="",$E118=""),"",IF($I118&lt;&gt;"","Check details",IF($F118&lt;AsOf,"Overdue",IF($F118=AsOf,"Due today",IF($F118&lt;=AsOf+30,"Due in next 30 days","Later")))))</f>
        <v/>
      </c>
      <c r="H118" s="15" t="str">
        <f aca="false">IF($F118="","",$F118-AsOf)</f>
        <v/>
      </c>
      <c r="I118" s="16" t="str">
        <f aca="false">IF(AND($A118="",$B118="",$C118="",$D118="",$E118=""),"",TRIM(IF($A118="","Name missing. ","")&amp;IF($B118="","Site missing. ","")&amp;IF($D118="","Last service missing. ",IF(NOT(ISNUMBER($D118)),"Last service isn't a date. ",IF(OR($D118&lt;18264,$D118&lt;&gt;INT($D118)),"Last service isn't a valid date. ",IF($D118&gt;AsOf,"Last service is after the as-of date. ",""))))&amp;IF($E118="","Interval missing.",IF(NOT(ISNUMBER($E118)),"Interval must be a number.",IF($E118&lt;&gt;INT($E118),"Interval must be whole months.",IF(OR($E118&lt;1,$E118&gt;240),"Interval must be 1-240 months.",""))))))</f>
        <v/>
      </c>
      <c r="J118" s="17" t="str">
        <f aca="false">IF(AND($A118="",$B118="",$C118="",$D118="",$E118=""),"",IF('Due List'!$B$4="Check details",IF($G118="Check details",ROW(),""),IF('Due List'!$B$4="All records",IF($G118="Check details",ROW()/100000,$F118+ROW()/100000),IF(OR($G118="Overdue",$G118="Due today",$G118="Due in next 30 days"),$F118+ROW()/100000,""))))</f>
        <v/>
      </c>
    </row>
    <row r="119" customFormat="false" ht="15" hidden="false" customHeight="false" outlineLevel="0" collapsed="false">
      <c r="A119" s="11"/>
      <c r="B119" s="11"/>
      <c r="C119" s="11"/>
      <c r="D119" s="12"/>
      <c r="E119" s="13"/>
      <c r="F119" s="14" t="str">
        <f aca="false">IF(OR(AND($A119="",$B119="",$C119="",$D119="",$E119=""),$I119&lt;&gt;""),"",EDATE($D119,$E119))</f>
        <v/>
      </c>
      <c r="G119" s="6" t="str">
        <f aca="false">IF(AND($A119="",$B119="",$C119="",$D119="",$E119=""),"",IF($I119&lt;&gt;"","Check details",IF($F119&lt;AsOf,"Overdue",IF($F119=AsOf,"Due today",IF($F119&lt;=AsOf+30,"Due in next 30 days","Later")))))</f>
        <v/>
      </c>
      <c r="H119" s="15" t="str">
        <f aca="false">IF($F119="","",$F119-AsOf)</f>
        <v/>
      </c>
      <c r="I119" s="16" t="str">
        <f aca="false">IF(AND($A119="",$B119="",$C119="",$D119="",$E119=""),"",TRIM(IF($A119="","Name missing. ","")&amp;IF($B119="","Site missing. ","")&amp;IF($D119="","Last service missing. ",IF(NOT(ISNUMBER($D119)),"Last service isn't a date. ",IF(OR($D119&lt;18264,$D119&lt;&gt;INT($D119)),"Last service isn't a valid date. ",IF($D119&gt;AsOf,"Last service is after the as-of date. ",""))))&amp;IF($E119="","Interval missing.",IF(NOT(ISNUMBER($E119)),"Interval must be a number.",IF($E119&lt;&gt;INT($E119),"Interval must be whole months.",IF(OR($E119&lt;1,$E119&gt;240),"Interval must be 1-240 months.",""))))))</f>
        <v/>
      </c>
      <c r="J119" s="17" t="str">
        <f aca="false">IF(AND($A119="",$B119="",$C119="",$D119="",$E119=""),"",IF('Due List'!$B$4="Check details",IF($G119="Check details",ROW(),""),IF('Due List'!$B$4="All records",IF($G119="Check details",ROW()/100000,$F119+ROW()/100000),IF(OR($G119="Overdue",$G119="Due today",$G119="Due in next 30 days"),$F119+ROW()/100000,""))))</f>
        <v/>
      </c>
    </row>
    <row r="120" customFormat="false" ht="15" hidden="false" customHeight="false" outlineLevel="0" collapsed="false">
      <c r="A120" s="11"/>
      <c r="B120" s="11"/>
      <c r="C120" s="11"/>
      <c r="D120" s="12"/>
      <c r="E120" s="13"/>
      <c r="F120" s="14" t="str">
        <f aca="false">IF(OR(AND($A120="",$B120="",$C120="",$D120="",$E120=""),$I120&lt;&gt;""),"",EDATE($D120,$E120))</f>
        <v/>
      </c>
      <c r="G120" s="6" t="str">
        <f aca="false">IF(AND($A120="",$B120="",$C120="",$D120="",$E120=""),"",IF($I120&lt;&gt;"","Check details",IF($F120&lt;AsOf,"Overdue",IF($F120=AsOf,"Due today",IF($F120&lt;=AsOf+30,"Due in next 30 days","Later")))))</f>
        <v/>
      </c>
      <c r="H120" s="15" t="str">
        <f aca="false">IF($F120="","",$F120-AsOf)</f>
        <v/>
      </c>
      <c r="I120" s="16" t="str">
        <f aca="false">IF(AND($A120="",$B120="",$C120="",$D120="",$E120=""),"",TRIM(IF($A120="","Name missing. ","")&amp;IF($B120="","Site missing. ","")&amp;IF($D120="","Last service missing. ",IF(NOT(ISNUMBER($D120)),"Last service isn't a date. ",IF(OR($D120&lt;18264,$D120&lt;&gt;INT($D120)),"Last service isn't a valid date. ",IF($D120&gt;AsOf,"Last service is after the as-of date. ",""))))&amp;IF($E120="","Interval missing.",IF(NOT(ISNUMBER($E120)),"Interval must be a number.",IF($E120&lt;&gt;INT($E120),"Interval must be whole months.",IF(OR($E120&lt;1,$E120&gt;240),"Interval must be 1-240 months.",""))))))</f>
        <v/>
      </c>
      <c r="J120" s="17" t="str">
        <f aca="false">IF(AND($A120="",$B120="",$C120="",$D120="",$E120=""),"",IF('Due List'!$B$4="Check details",IF($G120="Check details",ROW(),""),IF('Due List'!$B$4="All records",IF($G120="Check details",ROW()/100000,$F120+ROW()/100000),IF(OR($G120="Overdue",$G120="Due today",$G120="Due in next 30 days"),$F120+ROW()/100000,""))))</f>
        <v/>
      </c>
    </row>
    <row r="121" customFormat="false" ht="15" hidden="false" customHeight="false" outlineLevel="0" collapsed="false">
      <c r="A121" s="11"/>
      <c r="B121" s="11"/>
      <c r="C121" s="11"/>
      <c r="D121" s="12"/>
      <c r="E121" s="13"/>
      <c r="F121" s="14" t="str">
        <f aca="false">IF(OR(AND($A121="",$B121="",$C121="",$D121="",$E121=""),$I121&lt;&gt;""),"",EDATE($D121,$E121))</f>
        <v/>
      </c>
      <c r="G121" s="6" t="str">
        <f aca="false">IF(AND($A121="",$B121="",$C121="",$D121="",$E121=""),"",IF($I121&lt;&gt;"","Check details",IF($F121&lt;AsOf,"Overdue",IF($F121=AsOf,"Due today",IF($F121&lt;=AsOf+30,"Due in next 30 days","Later")))))</f>
        <v/>
      </c>
      <c r="H121" s="15" t="str">
        <f aca="false">IF($F121="","",$F121-AsOf)</f>
        <v/>
      </c>
      <c r="I121" s="16" t="str">
        <f aca="false">IF(AND($A121="",$B121="",$C121="",$D121="",$E121=""),"",TRIM(IF($A121="","Name missing. ","")&amp;IF($B121="","Site missing. ","")&amp;IF($D121="","Last service missing. ",IF(NOT(ISNUMBER($D121)),"Last service isn't a date. ",IF(OR($D121&lt;18264,$D121&lt;&gt;INT($D121)),"Last service isn't a valid date. ",IF($D121&gt;AsOf,"Last service is after the as-of date. ",""))))&amp;IF($E121="","Interval missing.",IF(NOT(ISNUMBER($E121)),"Interval must be a number.",IF($E121&lt;&gt;INT($E121),"Interval must be whole months.",IF(OR($E121&lt;1,$E121&gt;240),"Interval must be 1-240 months.",""))))))</f>
        <v/>
      </c>
      <c r="J121" s="17" t="str">
        <f aca="false">IF(AND($A121="",$B121="",$C121="",$D121="",$E121=""),"",IF('Due List'!$B$4="Check details",IF($G121="Check details",ROW(),""),IF('Due List'!$B$4="All records",IF($G121="Check details",ROW()/100000,$F121+ROW()/100000),IF(OR($G121="Overdue",$G121="Due today",$G121="Due in next 30 days"),$F121+ROW()/100000,""))))</f>
        <v/>
      </c>
    </row>
    <row r="122" customFormat="false" ht="15" hidden="false" customHeight="false" outlineLevel="0" collapsed="false">
      <c r="A122" s="11"/>
      <c r="B122" s="11"/>
      <c r="C122" s="11"/>
      <c r="D122" s="12"/>
      <c r="E122" s="13"/>
      <c r="F122" s="14" t="str">
        <f aca="false">IF(OR(AND($A122="",$B122="",$C122="",$D122="",$E122=""),$I122&lt;&gt;""),"",EDATE($D122,$E122))</f>
        <v/>
      </c>
      <c r="G122" s="6" t="str">
        <f aca="false">IF(AND($A122="",$B122="",$C122="",$D122="",$E122=""),"",IF($I122&lt;&gt;"","Check details",IF($F122&lt;AsOf,"Overdue",IF($F122=AsOf,"Due today",IF($F122&lt;=AsOf+30,"Due in next 30 days","Later")))))</f>
        <v/>
      </c>
      <c r="H122" s="15" t="str">
        <f aca="false">IF($F122="","",$F122-AsOf)</f>
        <v/>
      </c>
      <c r="I122" s="16" t="str">
        <f aca="false">IF(AND($A122="",$B122="",$C122="",$D122="",$E122=""),"",TRIM(IF($A122="","Name missing. ","")&amp;IF($B122="","Site missing. ","")&amp;IF($D122="","Last service missing. ",IF(NOT(ISNUMBER($D122)),"Last service isn't a date. ",IF(OR($D122&lt;18264,$D122&lt;&gt;INT($D122)),"Last service isn't a valid date. ",IF($D122&gt;AsOf,"Last service is after the as-of date. ",""))))&amp;IF($E122="","Interval missing.",IF(NOT(ISNUMBER($E122)),"Interval must be a number.",IF($E122&lt;&gt;INT($E122),"Interval must be whole months.",IF(OR($E122&lt;1,$E122&gt;240),"Interval must be 1-240 months.",""))))))</f>
        <v/>
      </c>
      <c r="J122" s="17" t="str">
        <f aca="false">IF(AND($A122="",$B122="",$C122="",$D122="",$E122=""),"",IF('Due List'!$B$4="Check details",IF($G122="Check details",ROW(),""),IF('Due List'!$B$4="All records",IF($G122="Check details",ROW()/100000,$F122+ROW()/100000),IF(OR($G122="Overdue",$G122="Due today",$G122="Due in next 30 days"),$F122+ROW()/100000,""))))</f>
        <v/>
      </c>
    </row>
    <row r="123" customFormat="false" ht="15" hidden="false" customHeight="false" outlineLevel="0" collapsed="false">
      <c r="A123" s="11"/>
      <c r="B123" s="11"/>
      <c r="C123" s="11"/>
      <c r="D123" s="12"/>
      <c r="E123" s="13"/>
      <c r="F123" s="14" t="str">
        <f aca="false">IF(OR(AND($A123="",$B123="",$C123="",$D123="",$E123=""),$I123&lt;&gt;""),"",EDATE($D123,$E123))</f>
        <v/>
      </c>
      <c r="G123" s="6" t="str">
        <f aca="false">IF(AND($A123="",$B123="",$C123="",$D123="",$E123=""),"",IF($I123&lt;&gt;"","Check details",IF($F123&lt;AsOf,"Overdue",IF($F123=AsOf,"Due today",IF($F123&lt;=AsOf+30,"Due in next 30 days","Later")))))</f>
        <v/>
      </c>
      <c r="H123" s="15" t="str">
        <f aca="false">IF($F123="","",$F123-AsOf)</f>
        <v/>
      </c>
      <c r="I123" s="16" t="str">
        <f aca="false">IF(AND($A123="",$B123="",$C123="",$D123="",$E123=""),"",TRIM(IF($A123="","Name missing. ","")&amp;IF($B123="","Site missing. ","")&amp;IF($D123="","Last service missing. ",IF(NOT(ISNUMBER($D123)),"Last service isn't a date. ",IF(OR($D123&lt;18264,$D123&lt;&gt;INT($D123)),"Last service isn't a valid date. ",IF($D123&gt;AsOf,"Last service is after the as-of date. ",""))))&amp;IF($E123="","Interval missing.",IF(NOT(ISNUMBER($E123)),"Interval must be a number.",IF($E123&lt;&gt;INT($E123),"Interval must be whole months.",IF(OR($E123&lt;1,$E123&gt;240),"Interval must be 1-240 months.",""))))))</f>
        <v/>
      </c>
      <c r="J123" s="17" t="str">
        <f aca="false">IF(AND($A123="",$B123="",$C123="",$D123="",$E123=""),"",IF('Due List'!$B$4="Check details",IF($G123="Check details",ROW(),""),IF('Due List'!$B$4="All records",IF($G123="Check details",ROW()/100000,$F123+ROW()/100000),IF(OR($G123="Overdue",$G123="Due today",$G123="Due in next 30 days"),$F123+ROW()/100000,""))))</f>
        <v/>
      </c>
    </row>
    <row r="124" customFormat="false" ht="15" hidden="false" customHeight="false" outlineLevel="0" collapsed="false">
      <c r="A124" s="11"/>
      <c r="B124" s="11"/>
      <c r="C124" s="11"/>
      <c r="D124" s="12"/>
      <c r="E124" s="13"/>
      <c r="F124" s="14" t="str">
        <f aca="false">IF(OR(AND($A124="",$B124="",$C124="",$D124="",$E124=""),$I124&lt;&gt;""),"",EDATE($D124,$E124))</f>
        <v/>
      </c>
      <c r="G124" s="6" t="str">
        <f aca="false">IF(AND($A124="",$B124="",$C124="",$D124="",$E124=""),"",IF($I124&lt;&gt;"","Check details",IF($F124&lt;AsOf,"Overdue",IF($F124=AsOf,"Due today",IF($F124&lt;=AsOf+30,"Due in next 30 days","Later")))))</f>
        <v/>
      </c>
      <c r="H124" s="15" t="str">
        <f aca="false">IF($F124="","",$F124-AsOf)</f>
        <v/>
      </c>
      <c r="I124" s="16" t="str">
        <f aca="false">IF(AND($A124="",$B124="",$C124="",$D124="",$E124=""),"",TRIM(IF($A124="","Name missing. ","")&amp;IF($B124="","Site missing. ","")&amp;IF($D124="","Last service missing. ",IF(NOT(ISNUMBER($D124)),"Last service isn't a date. ",IF(OR($D124&lt;18264,$D124&lt;&gt;INT($D124)),"Last service isn't a valid date. ",IF($D124&gt;AsOf,"Last service is after the as-of date. ",""))))&amp;IF($E124="","Interval missing.",IF(NOT(ISNUMBER($E124)),"Interval must be a number.",IF($E124&lt;&gt;INT($E124),"Interval must be whole months.",IF(OR($E124&lt;1,$E124&gt;240),"Interval must be 1-240 months.",""))))))</f>
        <v/>
      </c>
      <c r="J124" s="17" t="str">
        <f aca="false">IF(AND($A124="",$B124="",$C124="",$D124="",$E124=""),"",IF('Due List'!$B$4="Check details",IF($G124="Check details",ROW(),""),IF('Due List'!$B$4="All records",IF($G124="Check details",ROW()/100000,$F124+ROW()/100000),IF(OR($G124="Overdue",$G124="Due today",$G124="Due in next 30 days"),$F124+ROW()/100000,""))))</f>
        <v/>
      </c>
    </row>
    <row r="125" customFormat="false" ht="15" hidden="false" customHeight="false" outlineLevel="0" collapsed="false">
      <c r="A125" s="11"/>
      <c r="B125" s="11"/>
      <c r="C125" s="11"/>
      <c r="D125" s="12"/>
      <c r="E125" s="13"/>
      <c r="F125" s="14" t="str">
        <f aca="false">IF(OR(AND($A125="",$B125="",$C125="",$D125="",$E125=""),$I125&lt;&gt;""),"",EDATE($D125,$E125))</f>
        <v/>
      </c>
      <c r="G125" s="6" t="str">
        <f aca="false">IF(AND($A125="",$B125="",$C125="",$D125="",$E125=""),"",IF($I125&lt;&gt;"","Check details",IF($F125&lt;AsOf,"Overdue",IF($F125=AsOf,"Due today",IF($F125&lt;=AsOf+30,"Due in next 30 days","Later")))))</f>
        <v/>
      </c>
      <c r="H125" s="15" t="str">
        <f aca="false">IF($F125="","",$F125-AsOf)</f>
        <v/>
      </c>
      <c r="I125" s="16" t="str">
        <f aca="false">IF(AND($A125="",$B125="",$C125="",$D125="",$E125=""),"",TRIM(IF($A125="","Name missing. ","")&amp;IF($B125="","Site missing. ","")&amp;IF($D125="","Last service missing. ",IF(NOT(ISNUMBER($D125)),"Last service isn't a date. ",IF(OR($D125&lt;18264,$D125&lt;&gt;INT($D125)),"Last service isn't a valid date. ",IF($D125&gt;AsOf,"Last service is after the as-of date. ",""))))&amp;IF($E125="","Interval missing.",IF(NOT(ISNUMBER($E125)),"Interval must be a number.",IF($E125&lt;&gt;INT($E125),"Interval must be whole months.",IF(OR($E125&lt;1,$E125&gt;240),"Interval must be 1-240 months.",""))))))</f>
        <v/>
      </c>
      <c r="J125" s="17" t="str">
        <f aca="false">IF(AND($A125="",$B125="",$C125="",$D125="",$E125=""),"",IF('Due List'!$B$4="Check details",IF($G125="Check details",ROW(),""),IF('Due List'!$B$4="All records",IF($G125="Check details",ROW()/100000,$F125+ROW()/100000),IF(OR($G125="Overdue",$G125="Due today",$G125="Due in next 30 days"),$F125+ROW()/100000,""))))</f>
        <v/>
      </c>
    </row>
    <row r="126" customFormat="false" ht="15" hidden="false" customHeight="false" outlineLevel="0" collapsed="false">
      <c r="A126" s="11"/>
      <c r="B126" s="11"/>
      <c r="C126" s="11"/>
      <c r="D126" s="12"/>
      <c r="E126" s="13"/>
      <c r="F126" s="14" t="str">
        <f aca="false">IF(OR(AND($A126="",$B126="",$C126="",$D126="",$E126=""),$I126&lt;&gt;""),"",EDATE($D126,$E126))</f>
        <v/>
      </c>
      <c r="G126" s="6" t="str">
        <f aca="false">IF(AND($A126="",$B126="",$C126="",$D126="",$E126=""),"",IF($I126&lt;&gt;"","Check details",IF($F126&lt;AsOf,"Overdue",IF($F126=AsOf,"Due today",IF($F126&lt;=AsOf+30,"Due in next 30 days","Later")))))</f>
        <v/>
      </c>
      <c r="H126" s="15" t="str">
        <f aca="false">IF($F126="","",$F126-AsOf)</f>
        <v/>
      </c>
      <c r="I126" s="16" t="str">
        <f aca="false">IF(AND($A126="",$B126="",$C126="",$D126="",$E126=""),"",TRIM(IF($A126="","Name missing. ","")&amp;IF($B126="","Site missing. ","")&amp;IF($D126="","Last service missing. ",IF(NOT(ISNUMBER($D126)),"Last service isn't a date. ",IF(OR($D126&lt;18264,$D126&lt;&gt;INT($D126)),"Last service isn't a valid date. ",IF($D126&gt;AsOf,"Last service is after the as-of date. ",""))))&amp;IF($E126="","Interval missing.",IF(NOT(ISNUMBER($E126)),"Interval must be a number.",IF($E126&lt;&gt;INT($E126),"Interval must be whole months.",IF(OR($E126&lt;1,$E126&gt;240),"Interval must be 1-240 months.",""))))))</f>
        <v/>
      </c>
      <c r="J126" s="17" t="str">
        <f aca="false">IF(AND($A126="",$B126="",$C126="",$D126="",$E126=""),"",IF('Due List'!$B$4="Check details",IF($G126="Check details",ROW(),""),IF('Due List'!$B$4="All records",IF($G126="Check details",ROW()/100000,$F126+ROW()/100000),IF(OR($G126="Overdue",$G126="Due today",$G126="Due in next 30 days"),$F126+ROW()/100000,""))))</f>
        <v/>
      </c>
    </row>
    <row r="127" customFormat="false" ht="15" hidden="false" customHeight="false" outlineLevel="0" collapsed="false">
      <c r="A127" s="11"/>
      <c r="B127" s="11"/>
      <c r="C127" s="11"/>
      <c r="D127" s="12"/>
      <c r="E127" s="13"/>
      <c r="F127" s="14" t="str">
        <f aca="false">IF(OR(AND($A127="",$B127="",$C127="",$D127="",$E127=""),$I127&lt;&gt;""),"",EDATE($D127,$E127))</f>
        <v/>
      </c>
      <c r="G127" s="6" t="str">
        <f aca="false">IF(AND($A127="",$B127="",$C127="",$D127="",$E127=""),"",IF($I127&lt;&gt;"","Check details",IF($F127&lt;AsOf,"Overdue",IF($F127=AsOf,"Due today",IF($F127&lt;=AsOf+30,"Due in next 30 days","Later")))))</f>
        <v/>
      </c>
      <c r="H127" s="15" t="str">
        <f aca="false">IF($F127="","",$F127-AsOf)</f>
        <v/>
      </c>
      <c r="I127" s="16" t="str">
        <f aca="false">IF(AND($A127="",$B127="",$C127="",$D127="",$E127=""),"",TRIM(IF($A127="","Name missing. ","")&amp;IF($B127="","Site missing. ","")&amp;IF($D127="","Last service missing. ",IF(NOT(ISNUMBER($D127)),"Last service isn't a date. ",IF(OR($D127&lt;18264,$D127&lt;&gt;INT($D127)),"Last service isn't a valid date. ",IF($D127&gt;AsOf,"Last service is after the as-of date. ",""))))&amp;IF($E127="","Interval missing.",IF(NOT(ISNUMBER($E127)),"Interval must be a number.",IF($E127&lt;&gt;INT($E127),"Interval must be whole months.",IF(OR($E127&lt;1,$E127&gt;240),"Interval must be 1-240 months.",""))))))</f>
        <v/>
      </c>
      <c r="J127" s="17" t="str">
        <f aca="false">IF(AND($A127="",$B127="",$C127="",$D127="",$E127=""),"",IF('Due List'!$B$4="Check details",IF($G127="Check details",ROW(),""),IF('Due List'!$B$4="All records",IF($G127="Check details",ROW()/100000,$F127+ROW()/100000),IF(OR($G127="Overdue",$G127="Due today",$G127="Due in next 30 days"),$F127+ROW()/100000,""))))</f>
        <v/>
      </c>
    </row>
    <row r="128" customFormat="false" ht="15" hidden="false" customHeight="false" outlineLevel="0" collapsed="false">
      <c r="A128" s="11"/>
      <c r="B128" s="11"/>
      <c r="C128" s="11"/>
      <c r="D128" s="12"/>
      <c r="E128" s="13"/>
      <c r="F128" s="14" t="str">
        <f aca="false">IF(OR(AND($A128="",$B128="",$C128="",$D128="",$E128=""),$I128&lt;&gt;""),"",EDATE($D128,$E128))</f>
        <v/>
      </c>
      <c r="G128" s="6" t="str">
        <f aca="false">IF(AND($A128="",$B128="",$C128="",$D128="",$E128=""),"",IF($I128&lt;&gt;"","Check details",IF($F128&lt;AsOf,"Overdue",IF($F128=AsOf,"Due today",IF($F128&lt;=AsOf+30,"Due in next 30 days","Later")))))</f>
        <v/>
      </c>
      <c r="H128" s="15" t="str">
        <f aca="false">IF($F128="","",$F128-AsOf)</f>
        <v/>
      </c>
      <c r="I128" s="16" t="str">
        <f aca="false">IF(AND($A128="",$B128="",$C128="",$D128="",$E128=""),"",TRIM(IF($A128="","Name missing. ","")&amp;IF($B128="","Site missing. ","")&amp;IF($D128="","Last service missing. ",IF(NOT(ISNUMBER($D128)),"Last service isn't a date. ",IF(OR($D128&lt;18264,$D128&lt;&gt;INT($D128)),"Last service isn't a valid date. ",IF($D128&gt;AsOf,"Last service is after the as-of date. ",""))))&amp;IF($E128="","Interval missing.",IF(NOT(ISNUMBER($E128)),"Interval must be a number.",IF($E128&lt;&gt;INT($E128),"Interval must be whole months.",IF(OR($E128&lt;1,$E128&gt;240),"Interval must be 1-240 months.",""))))))</f>
        <v/>
      </c>
      <c r="J128" s="17" t="str">
        <f aca="false">IF(AND($A128="",$B128="",$C128="",$D128="",$E128=""),"",IF('Due List'!$B$4="Check details",IF($G128="Check details",ROW(),""),IF('Due List'!$B$4="All records",IF($G128="Check details",ROW()/100000,$F128+ROW()/100000),IF(OR($G128="Overdue",$G128="Due today",$G128="Due in next 30 days"),$F128+ROW()/100000,""))))</f>
        <v/>
      </c>
    </row>
    <row r="129" customFormat="false" ht="15" hidden="false" customHeight="false" outlineLevel="0" collapsed="false">
      <c r="A129" s="11"/>
      <c r="B129" s="11"/>
      <c r="C129" s="11"/>
      <c r="D129" s="12"/>
      <c r="E129" s="13"/>
      <c r="F129" s="14" t="str">
        <f aca="false">IF(OR(AND($A129="",$B129="",$C129="",$D129="",$E129=""),$I129&lt;&gt;""),"",EDATE($D129,$E129))</f>
        <v/>
      </c>
      <c r="G129" s="6" t="str">
        <f aca="false">IF(AND($A129="",$B129="",$C129="",$D129="",$E129=""),"",IF($I129&lt;&gt;"","Check details",IF($F129&lt;AsOf,"Overdue",IF($F129=AsOf,"Due today",IF($F129&lt;=AsOf+30,"Due in next 30 days","Later")))))</f>
        <v/>
      </c>
      <c r="H129" s="15" t="str">
        <f aca="false">IF($F129="","",$F129-AsOf)</f>
        <v/>
      </c>
      <c r="I129" s="16" t="str">
        <f aca="false">IF(AND($A129="",$B129="",$C129="",$D129="",$E129=""),"",TRIM(IF($A129="","Name missing. ","")&amp;IF($B129="","Site missing. ","")&amp;IF($D129="","Last service missing. ",IF(NOT(ISNUMBER($D129)),"Last service isn't a date. ",IF(OR($D129&lt;18264,$D129&lt;&gt;INT($D129)),"Last service isn't a valid date. ",IF($D129&gt;AsOf,"Last service is after the as-of date. ",""))))&amp;IF($E129="","Interval missing.",IF(NOT(ISNUMBER($E129)),"Interval must be a number.",IF($E129&lt;&gt;INT($E129),"Interval must be whole months.",IF(OR($E129&lt;1,$E129&gt;240),"Interval must be 1-240 months.",""))))))</f>
        <v/>
      </c>
      <c r="J129" s="17" t="str">
        <f aca="false">IF(AND($A129="",$B129="",$C129="",$D129="",$E129=""),"",IF('Due List'!$B$4="Check details",IF($G129="Check details",ROW(),""),IF('Due List'!$B$4="All records",IF($G129="Check details",ROW()/100000,$F129+ROW()/100000),IF(OR($G129="Overdue",$G129="Due today",$G129="Due in next 30 days"),$F129+ROW()/100000,""))))</f>
        <v/>
      </c>
    </row>
    <row r="130" customFormat="false" ht="15" hidden="false" customHeight="false" outlineLevel="0" collapsed="false">
      <c r="A130" s="11"/>
      <c r="B130" s="11"/>
      <c r="C130" s="11"/>
      <c r="D130" s="12"/>
      <c r="E130" s="13"/>
      <c r="F130" s="14" t="str">
        <f aca="false">IF(OR(AND($A130="",$B130="",$C130="",$D130="",$E130=""),$I130&lt;&gt;""),"",EDATE($D130,$E130))</f>
        <v/>
      </c>
      <c r="G130" s="6" t="str">
        <f aca="false">IF(AND($A130="",$B130="",$C130="",$D130="",$E130=""),"",IF($I130&lt;&gt;"","Check details",IF($F130&lt;AsOf,"Overdue",IF($F130=AsOf,"Due today",IF($F130&lt;=AsOf+30,"Due in next 30 days","Later")))))</f>
        <v/>
      </c>
      <c r="H130" s="15" t="str">
        <f aca="false">IF($F130="","",$F130-AsOf)</f>
        <v/>
      </c>
      <c r="I130" s="16" t="str">
        <f aca="false">IF(AND($A130="",$B130="",$C130="",$D130="",$E130=""),"",TRIM(IF($A130="","Name missing. ","")&amp;IF($B130="","Site missing. ","")&amp;IF($D130="","Last service missing. ",IF(NOT(ISNUMBER($D130)),"Last service isn't a date. ",IF(OR($D130&lt;18264,$D130&lt;&gt;INT($D130)),"Last service isn't a valid date. ",IF($D130&gt;AsOf,"Last service is after the as-of date. ",""))))&amp;IF($E130="","Interval missing.",IF(NOT(ISNUMBER($E130)),"Interval must be a number.",IF($E130&lt;&gt;INT($E130),"Interval must be whole months.",IF(OR($E130&lt;1,$E130&gt;240),"Interval must be 1-240 months.",""))))))</f>
        <v/>
      </c>
      <c r="J130" s="17" t="str">
        <f aca="false">IF(AND($A130="",$B130="",$C130="",$D130="",$E130=""),"",IF('Due List'!$B$4="Check details",IF($G130="Check details",ROW(),""),IF('Due List'!$B$4="All records",IF($G130="Check details",ROW()/100000,$F130+ROW()/100000),IF(OR($G130="Overdue",$G130="Due today",$G130="Due in next 30 days"),$F130+ROW()/100000,""))))</f>
        <v/>
      </c>
    </row>
    <row r="131" customFormat="false" ht="15" hidden="false" customHeight="false" outlineLevel="0" collapsed="false">
      <c r="A131" s="11"/>
      <c r="B131" s="11"/>
      <c r="C131" s="11"/>
      <c r="D131" s="12"/>
      <c r="E131" s="13"/>
      <c r="F131" s="14" t="str">
        <f aca="false">IF(OR(AND($A131="",$B131="",$C131="",$D131="",$E131=""),$I131&lt;&gt;""),"",EDATE($D131,$E131))</f>
        <v/>
      </c>
      <c r="G131" s="6" t="str">
        <f aca="false">IF(AND($A131="",$B131="",$C131="",$D131="",$E131=""),"",IF($I131&lt;&gt;"","Check details",IF($F131&lt;AsOf,"Overdue",IF($F131=AsOf,"Due today",IF($F131&lt;=AsOf+30,"Due in next 30 days","Later")))))</f>
        <v/>
      </c>
      <c r="H131" s="15" t="str">
        <f aca="false">IF($F131="","",$F131-AsOf)</f>
        <v/>
      </c>
      <c r="I131" s="16" t="str">
        <f aca="false">IF(AND($A131="",$B131="",$C131="",$D131="",$E131=""),"",TRIM(IF($A131="","Name missing. ","")&amp;IF($B131="","Site missing. ","")&amp;IF($D131="","Last service missing. ",IF(NOT(ISNUMBER($D131)),"Last service isn't a date. ",IF(OR($D131&lt;18264,$D131&lt;&gt;INT($D131)),"Last service isn't a valid date. ",IF($D131&gt;AsOf,"Last service is after the as-of date. ",""))))&amp;IF($E131="","Interval missing.",IF(NOT(ISNUMBER($E131)),"Interval must be a number.",IF($E131&lt;&gt;INT($E131),"Interval must be whole months.",IF(OR($E131&lt;1,$E131&gt;240),"Interval must be 1-240 months.",""))))))</f>
        <v/>
      </c>
      <c r="J131" s="17" t="str">
        <f aca="false">IF(AND($A131="",$B131="",$C131="",$D131="",$E131=""),"",IF('Due List'!$B$4="Check details",IF($G131="Check details",ROW(),""),IF('Due List'!$B$4="All records",IF($G131="Check details",ROW()/100000,$F131+ROW()/100000),IF(OR($G131="Overdue",$G131="Due today",$G131="Due in next 30 days"),$F131+ROW()/100000,""))))</f>
        <v/>
      </c>
    </row>
    <row r="132" customFormat="false" ht="15" hidden="false" customHeight="false" outlineLevel="0" collapsed="false">
      <c r="A132" s="11"/>
      <c r="B132" s="11"/>
      <c r="C132" s="11"/>
      <c r="D132" s="12"/>
      <c r="E132" s="13"/>
      <c r="F132" s="14" t="str">
        <f aca="false">IF(OR(AND($A132="",$B132="",$C132="",$D132="",$E132=""),$I132&lt;&gt;""),"",EDATE($D132,$E132))</f>
        <v/>
      </c>
      <c r="G132" s="6" t="str">
        <f aca="false">IF(AND($A132="",$B132="",$C132="",$D132="",$E132=""),"",IF($I132&lt;&gt;"","Check details",IF($F132&lt;AsOf,"Overdue",IF($F132=AsOf,"Due today",IF($F132&lt;=AsOf+30,"Due in next 30 days","Later")))))</f>
        <v/>
      </c>
      <c r="H132" s="15" t="str">
        <f aca="false">IF($F132="","",$F132-AsOf)</f>
        <v/>
      </c>
      <c r="I132" s="16" t="str">
        <f aca="false">IF(AND($A132="",$B132="",$C132="",$D132="",$E132=""),"",TRIM(IF($A132="","Name missing. ","")&amp;IF($B132="","Site missing. ","")&amp;IF($D132="","Last service missing. ",IF(NOT(ISNUMBER($D132)),"Last service isn't a date. ",IF(OR($D132&lt;18264,$D132&lt;&gt;INT($D132)),"Last service isn't a valid date. ",IF($D132&gt;AsOf,"Last service is after the as-of date. ",""))))&amp;IF($E132="","Interval missing.",IF(NOT(ISNUMBER($E132)),"Interval must be a number.",IF($E132&lt;&gt;INT($E132),"Interval must be whole months.",IF(OR($E132&lt;1,$E132&gt;240),"Interval must be 1-240 months.",""))))))</f>
        <v/>
      </c>
      <c r="J132" s="17" t="str">
        <f aca="false">IF(AND($A132="",$B132="",$C132="",$D132="",$E132=""),"",IF('Due List'!$B$4="Check details",IF($G132="Check details",ROW(),""),IF('Due List'!$B$4="All records",IF($G132="Check details",ROW()/100000,$F132+ROW()/100000),IF(OR($G132="Overdue",$G132="Due today",$G132="Due in next 30 days"),$F132+ROW()/100000,""))))</f>
        <v/>
      </c>
    </row>
    <row r="133" customFormat="false" ht="15" hidden="false" customHeight="false" outlineLevel="0" collapsed="false">
      <c r="A133" s="11"/>
      <c r="B133" s="11"/>
      <c r="C133" s="11"/>
      <c r="D133" s="12"/>
      <c r="E133" s="13"/>
      <c r="F133" s="14" t="str">
        <f aca="false">IF(OR(AND($A133="",$B133="",$C133="",$D133="",$E133=""),$I133&lt;&gt;""),"",EDATE($D133,$E133))</f>
        <v/>
      </c>
      <c r="G133" s="6" t="str">
        <f aca="false">IF(AND($A133="",$B133="",$C133="",$D133="",$E133=""),"",IF($I133&lt;&gt;"","Check details",IF($F133&lt;AsOf,"Overdue",IF($F133=AsOf,"Due today",IF($F133&lt;=AsOf+30,"Due in next 30 days","Later")))))</f>
        <v/>
      </c>
      <c r="H133" s="15" t="str">
        <f aca="false">IF($F133="","",$F133-AsOf)</f>
        <v/>
      </c>
      <c r="I133" s="16" t="str">
        <f aca="false">IF(AND($A133="",$B133="",$C133="",$D133="",$E133=""),"",TRIM(IF($A133="","Name missing. ","")&amp;IF($B133="","Site missing. ","")&amp;IF($D133="","Last service missing. ",IF(NOT(ISNUMBER($D133)),"Last service isn't a date. ",IF(OR($D133&lt;18264,$D133&lt;&gt;INT($D133)),"Last service isn't a valid date. ",IF($D133&gt;AsOf,"Last service is after the as-of date. ",""))))&amp;IF($E133="","Interval missing.",IF(NOT(ISNUMBER($E133)),"Interval must be a number.",IF($E133&lt;&gt;INT($E133),"Interval must be whole months.",IF(OR($E133&lt;1,$E133&gt;240),"Interval must be 1-240 months.",""))))))</f>
        <v/>
      </c>
      <c r="J133" s="17" t="str">
        <f aca="false">IF(AND($A133="",$B133="",$C133="",$D133="",$E133=""),"",IF('Due List'!$B$4="Check details",IF($G133="Check details",ROW(),""),IF('Due List'!$B$4="All records",IF($G133="Check details",ROW()/100000,$F133+ROW()/100000),IF(OR($G133="Overdue",$G133="Due today",$G133="Due in next 30 days"),$F133+ROW()/100000,""))))</f>
        <v/>
      </c>
    </row>
    <row r="134" customFormat="false" ht="15" hidden="false" customHeight="false" outlineLevel="0" collapsed="false">
      <c r="A134" s="11"/>
      <c r="B134" s="11"/>
      <c r="C134" s="11"/>
      <c r="D134" s="12"/>
      <c r="E134" s="13"/>
      <c r="F134" s="14" t="str">
        <f aca="false">IF(OR(AND($A134="",$B134="",$C134="",$D134="",$E134=""),$I134&lt;&gt;""),"",EDATE($D134,$E134))</f>
        <v/>
      </c>
      <c r="G134" s="6" t="str">
        <f aca="false">IF(AND($A134="",$B134="",$C134="",$D134="",$E134=""),"",IF($I134&lt;&gt;"","Check details",IF($F134&lt;AsOf,"Overdue",IF($F134=AsOf,"Due today",IF($F134&lt;=AsOf+30,"Due in next 30 days","Later")))))</f>
        <v/>
      </c>
      <c r="H134" s="15" t="str">
        <f aca="false">IF($F134="","",$F134-AsOf)</f>
        <v/>
      </c>
      <c r="I134" s="16" t="str">
        <f aca="false">IF(AND($A134="",$B134="",$C134="",$D134="",$E134=""),"",TRIM(IF($A134="","Name missing. ","")&amp;IF($B134="","Site missing. ","")&amp;IF($D134="","Last service missing. ",IF(NOT(ISNUMBER($D134)),"Last service isn't a date. ",IF(OR($D134&lt;18264,$D134&lt;&gt;INT($D134)),"Last service isn't a valid date. ",IF($D134&gt;AsOf,"Last service is after the as-of date. ",""))))&amp;IF($E134="","Interval missing.",IF(NOT(ISNUMBER($E134)),"Interval must be a number.",IF($E134&lt;&gt;INT($E134),"Interval must be whole months.",IF(OR($E134&lt;1,$E134&gt;240),"Interval must be 1-240 months.",""))))))</f>
        <v/>
      </c>
      <c r="J134" s="17" t="str">
        <f aca="false">IF(AND($A134="",$B134="",$C134="",$D134="",$E134=""),"",IF('Due List'!$B$4="Check details",IF($G134="Check details",ROW(),""),IF('Due List'!$B$4="All records",IF($G134="Check details",ROW()/100000,$F134+ROW()/100000),IF(OR($G134="Overdue",$G134="Due today",$G134="Due in next 30 days"),$F134+ROW()/100000,""))))</f>
        <v/>
      </c>
    </row>
    <row r="135" customFormat="false" ht="15" hidden="false" customHeight="false" outlineLevel="0" collapsed="false">
      <c r="A135" s="11"/>
      <c r="B135" s="11"/>
      <c r="C135" s="11"/>
      <c r="D135" s="12"/>
      <c r="E135" s="13"/>
      <c r="F135" s="14" t="str">
        <f aca="false">IF(OR(AND($A135="",$B135="",$C135="",$D135="",$E135=""),$I135&lt;&gt;""),"",EDATE($D135,$E135))</f>
        <v/>
      </c>
      <c r="G135" s="6" t="str">
        <f aca="false">IF(AND($A135="",$B135="",$C135="",$D135="",$E135=""),"",IF($I135&lt;&gt;"","Check details",IF($F135&lt;AsOf,"Overdue",IF($F135=AsOf,"Due today",IF($F135&lt;=AsOf+30,"Due in next 30 days","Later")))))</f>
        <v/>
      </c>
      <c r="H135" s="15" t="str">
        <f aca="false">IF($F135="","",$F135-AsOf)</f>
        <v/>
      </c>
      <c r="I135" s="16" t="str">
        <f aca="false">IF(AND($A135="",$B135="",$C135="",$D135="",$E135=""),"",TRIM(IF($A135="","Name missing. ","")&amp;IF($B135="","Site missing. ","")&amp;IF($D135="","Last service missing. ",IF(NOT(ISNUMBER($D135)),"Last service isn't a date. ",IF(OR($D135&lt;18264,$D135&lt;&gt;INT($D135)),"Last service isn't a valid date. ",IF($D135&gt;AsOf,"Last service is after the as-of date. ",""))))&amp;IF($E135="","Interval missing.",IF(NOT(ISNUMBER($E135)),"Interval must be a number.",IF($E135&lt;&gt;INT($E135),"Interval must be whole months.",IF(OR($E135&lt;1,$E135&gt;240),"Interval must be 1-240 months.",""))))))</f>
        <v/>
      </c>
      <c r="J135" s="17" t="str">
        <f aca="false">IF(AND($A135="",$B135="",$C135="",$D135="",$E135=""),"",IF('Due List'!$B$4="Check details",IF($G135="Check details",ROW(),""),IF('Due List'!$B$4="All records",IF($G135="Check details",ROW()/100000,$F135+ROW()/100000),IF(OR($G135="Overdue",$G135="Due today",$G135="Due in next 30 days"),$F135+ROW()/100000,""))))</f>
        <v/>
      </c>
    </row>
    <row r="136" customFormat="false" ht="15" hidden="false" customHeight="false" outlineLevel="0" collapsed="false">
      <c r="A136" s="11"/>
      <c r="B136" s="11"/>
      <c r="C136" s="11"/>
      <c r="D136" s="12"/>
      <c r="E136" s="13"/>
      <c r="F136" s="14" t="str">
        <f aca="false">IF(OR(AND($A136="",$B136="",$C136="",$D136="",$E136=""),$I136&lt;&gt;""),"",EDATE($D136,$E136))</f>
        <v/>
      </c>
      <c r="G136" s="6" t="str">
        <f aca="false">IF(AND($A136="",$B136="",$C136="",$D136="",$E136=""),"",IF($I136&lt;&gt;"","Check details",IF($F136&lt;AsOf,"Overdue",IF($F136=AsOf,"Due today",IF($F136&lt;=AsOf+30,"Due in next 30 days","Later")))))</f>
        <v/>
      </c>
      <c r="H136" s="15" t="str">
        <f aca="false">IF($F136="","",$F136-AsOf)</f>
        <v/>
      </c>
      <c r="I136" s="16" t="str">
        <f aca="false">IF(AND($A136="",$B136="",$C136="",$D136="",$E136=""),"",TRIM(IF($A136="","Name missing. ","")&amp;IF($B136="","Site missing. ","")&amp;IF($D136="","Last service missing. ",IF(NOT(ISNUMBER($D136)),"Last service isn't a date. ",IF(OR($D136&lt;18264,$D136&lt;&gt;INT($D136)),"Last service isn't a valid date. ",IF($D136&gt;AsOf,"Last service is after the as-of date. ",""))))&amp;IF($E136="","Interval missing.",IF(NOT(ISNUMBER($E136)),"Interval must be a number.",IF($E136&lt;&gt;INT($E136),"Interval must be whole months.",IF(OR($E136&lt;1,$E136&gt;240),"Interval must be 1-240 months.",""))))))</f>
        <v/>
      </c>
      <c r="J136" s="17" t="str">
        <f aca="false">IF(AND($A136="",$B136="",$C136="",$D136="",$E136=""),"",IF('Due List'!$B$4="Check details",IF($G136="Check details",ROW(),""),IF('Due List'!$B$4="All records",IF($G136="Check details",ROW()/100000,$F136+ROW()/100000),IF(OR($G136="Overdue",$G136="Due today",$G136="Due in next 30 days"),$F136+ROW()/100000,""))))</f>
        <v/>
      </c>
    </row>
    <row r="137" customFormat="false" ht="15" hidden="false" customHeight="false" outlineLevel="0" collapsed="false">
      <c r="A137" s="11"/>
      <c r="B137" s="11"/>
      <c r="C137" s="11"/>
      <c r="D137" s="12"/>
      <c r="E137" s="13"/>
      <c r="F137" s="14" t="str">
        <f aca="false">IF(OR(AND($A137="",$B137="",$C137="",$D137="",$E137=""),$I137&lt;&gt;""),"",EDATE($D137,$E137))</f>
        <v/>
      </c>
      <c r="G137" s="6" t="str">
        <f aca="false">IF(AND($A137="",$B137="",$C137="",$D137="",$E137=""),"",IF($I137&lt;&gt;"","Check details",IF($F137&lt;AsOf,"Overdue",IF($F137=AsOf,"Due today",IF($F137&lt;=AsOf+30,"Due in next 30 days","Later")))))</f>
        <v/>
      </c>
      <c r="H137" s="15" t="str">
        <f aca="false">IF($F137="","",$F137-AsOf)</f>
        <v/>
      </c>
      <c r="I137" s="16" t="str">
        <f aca="false">IF(AND($A137="",$B137="",$C137="",$D137="",$E137=""),"",TRIM(IF($A137="","Name missing. ","")&amp;IF($B137="","Site missing. ","")&amp;IF($D137="","Last service missing. ",IF(NOT(ISNUMBER($D137)),"Last service isn't a date. ",IF(OR($D137&lt;18264,$D137&lt;&gt;INT($D137)),"Last service isn't a valid date. ",IF($D137&gt;AsOf,"Last service is after the as-of date. ",""))))&amp;IF($E137="","Interval missing.",IF(NOT(ISNUMBER($E137)),"Interval must be a number.",IF($E137&lt;&gt;INT($E137),"Interval must be whole months.",IF(OR($E137&lt;1,$E137&gt;240),"Interval must be 1-240 months.",""))))))</f>
        <v/>
      </c>
      <c r="J137" s="17" t="str">
        <f aca="false">IF(AND($A137="",$B137="",$C137="",$D137="",$E137=""),"",IF('Due List'!$B$4="Check details",IF($G137="Check details",ROW(),""),IF('Due List'!$B$4="All records",IF($G137="Check details",ROW()/100000,$F137+ROW()/100000),IF(OR($G137="Overdue",$G137="Due today",$G137="Due in next 30 days"),$F137+ROW()/100000,""))))</f>
        <v/>
      </c>
    </row>
    <row r="138" customFormat="false" ht="15" hidden="false" customHeight="false" outlineLevel="0" collapsed="false">
      <c r="A138" s="11"/>
      <c r="B138" s="11"/>
      <c r="C138" s="11"/>
      <c r="D138" s="12"/>
      <c r="E138" s="13"/>
      <c r="F138" s="14" t="str">
        <f aca="false">IF(OR(AND($A138="",$B138="",$C138="",$D138="",$E138=""),$I138&lt;&gt;""),"",EDATE($D138,$E138))</f>
        <v/>
      </c>
      <c r="G138" s="6" t="str">
        <f aca="false">IF(AND($A138="",$B138="",$C138="",$D138="",$E138=""),"",IF($I138&lt;&gt;"","Check details",IF($F138&lt;AsOf,"Overdue",IF($F138=AsOf,"Due today",IF($F138&lt;=AsOf+30,"Due in next 30 days","Later")))))</f>
        <v/>
      </c>
      <c r="H138" s="15" t="str">
        <f aca="false">IF($F138="","",$F138-AsOf)</f>
        <v/>
      </c>
      <c r="I138" s="16" t="str">
        <f aca="false">IF(AND($A138="",$B138="",$C138="",$D138="",$E138=""),"",TRIM(IF($A138="","Name missing. ","")&amp;IF($B138="","Site missing. ","")&amp;IF($D138="","Last service missing. ",IF(NOT(ISNUMBER($D138)),"Last service isn't a date. ",IF(OR($D138&lt;18264,$D138&lt;&gt;INT($D138)),"Last service isn't a valid date. ",IF($D138&gt;AsOf,"Last service is after the as-of date. ",""))))&amp;IF($E138="","Interval missing.",IF(NOT(ISNUMBER($E138)),"Interval must be a number.",IF($E138&lt;&gt;INT($E138),"Interval must be whole months.",IF(OR($E138&lt;1,$E138&gt;240),"Interval must be 1-240 months.",""))))))</f>
        <v/>
      </c>
      <c r="J138" s="17" t="str">
        <f aca="false">IF(AND($A138="",$B138="",$C138="",$D138="",$E138=""),"",IF('Due List'!$B$4="Check details",IF($G138="Check details",ROW(),""),IF('Due List'!$B$4="All records",IF($G138="Check details",ROW()/100000,$F138+ROW()/100000),IF(OR($G138="Overdue",$G138="Due today",$G138="Due in next 30 days"),$F138+ROW()/100000,""))))</f>
        <v/>
      </c>
    </row>
    <row r="139" customFormat="false" ht="15" hidden="false" customHeight="false" outlineLevel="0" collapsed="false">
      <c r="A139" s="11"/>
      <c r="B139" s="11"/>
      <c r="C139" s="11"/>
      <c r="D139" s="12"/>
      <c r="E139" s="13"/>
      <c r="F139" s="14" t="str">
        <f aca="false">IF(OR(AND($A139="",$B139="",$C139="",$D139="",$E139=""),$I139&lt;&gt;""),"",EDATE($D139,$E139))</f>
        <v/>
      </c>
      <c r="G139" s="6" t="str">
        <f aca="false">IF(AND($A139="",$B139="",$C139="",$D139="",$E139=""),"",IF($I139&lt;&gt;"","Check details",IF($F139&lt;AsOf,"Overdue",IF($F139=AsOf,"Due today",IF($F139&lt;=AsOf+30,"Due in next 30 days","Later")))))</f>
        <v/>
      </c>
      <c r="H139" s="15" t="str">
        <f aca="false">IF($F139="","",$F139-AsOf)</f>
        <v/>
      </c>
      <c r="I139" s="16" t="str">
        <f aca="false">IF(AND($A139="",$B139="",$C139="",$D139="",$E139=""),"",TRIM(IF($A139="","Name missing. ","")&amp;IF($B139="","Site missing. ","")&amp;IF($D139="","Last service missing. ",IF(NOT(ISNUMBER($D139)),"Last service isn't a date. ",IF(OR($D139&lt;18264,$D139&lt;&gt;INT($D139)),"Last service isn't a valid date. ",IF($D139&gt;AsOf,"Last service is after the as-of date. ",""))))&amp;IF($E139="","Interval missing.",IF(NOT(ISNUMBER($E139)),"Interval must be a number.",IF($E139&lt;&gt;INT($E139),"Interval must be whole months.",IF(OR($E139&lt;1,$E139&gt;240),"Interval must be 1-240 months.",""))))))</f>
        <v/>
      </c>
      <c r="J139" s="17" t="str">
        <f aca="false">IF(AND($A139="",$B139="",$C139="",$D139="",$E139=""),"",IF('Due List'!$B$4="Check details",IF($G139="Check details",ROW(),""),IF('Due List'!$B$4="All records",IF($G139="Check details",ROW()/100000,$F139+ROW()/100000),IF(OR($G139="Overdue",$G139="Due today",$G139="Due in next 30 days"),$F139+ROW()/100000,""))))</f>
        <v/>
      </c>
    </row>
    <row r="140" customFormat="false" ht="15" hidden="false" customHeight="false" outlineLevel="0" collapsed="false">
      <c r="A140" s="11"/>
      <c r="B140" s="11"/>
      <c r="C140" s="11"/>
      <c r="D140" s="12"/>
      <c r="E140" s="13"/>
      <c r="F140" s="14" t="str">
        <f aca="false">IF(OR(AND($A140="",$B140="",$C140="",$D140="",$E140=""),$I140&lt;&gt;""),"",EDATE($D140,$E140))</f>
        <v/>
      </c>
      <c r="G140" s="6" t="str">
        <f aca="false">IF(AND($A140="",$B140="",$C140="",$D140="",$E140=""),"",IF($I140&lt;&gt;"","Check details",IF($F140&lt;AsOf,"Overdue",IF($F140=AsOf,"Due today",IF($F140&lt;=AsOf+30,"Due in next 30 days","Later")))))</f>
        <v/>
      </c>
      <c r="H140" s="15" t="str">
        <f aca="false">IF($F140="","",$F140-AsOf)</f>
        <v/>
      </c>
      <c r="I140" s="16" t="str">
        <f aca="false">IF(AND($A140="",$B140="",$C140="",$D140="",$E140=""),"",TRIM(IF($A140="","Name missing. ","")&amp;IF($B140="","Site missing. ","")&amp;IF($D140="","Last service missing. ",IF(NOT(ISNUMBER($D140)),"Last service isn't a date. ",IF(OR($D140&lt;18264,$D140&lt;&gt;INT($D140)),"Last service isn't a valid date. ",IF($D140&gt;AsOf,"Last service is after the as-of date. ",""))))&amp;IF($E140="","Interval missing.",IF(NOT(ISNUMBER($E140)),"Interval must be a number.",IF($E140&lt;&gt;INT($E140),"Interval must be whole months.",IF(OR($E140&lt;1,$E140&gt;240),"Interval must be 1-240 months.",""))))))</f>
        <v/>
      </c>
      <c r="J140" s="17" t="str">
        <f aca="false">IF(AND($A140="",$B140="",$C140="",$D140="",$E140=""),"",IF('Due List'!$B$4="Check details",IF($G140="Check details",ROW(),""),IF('Due List'!$B$4="All records",IF($G140="Check details",ROW()/100000,$F140+ROW()/100000),IF(OR($G140="Overdue",$G140="Due today",$G140="Due in next 30 days"),$F140+ROW()/100000,""))))</f>
        <v/>
      </c>
    </row>
    <row r="141" customFormat="false" ht="15" hidden="false" customHeight="false" outlineLevel="0" collapsed="false">
      <c r="A141" s="11"/>
      <c r="B141" s="11"/>
      <c r="C141" s="11"/>
      <c r="D141" s="12"/>
      <c r="E141" s="13"/>
      <c r="F141" s="14" t="str">
        <f aca="false">IF(OR(AND($A141="",$B141="",$C141="",$D141="",$E141=""),$I141&lt;&gt;""),"",EDATE($D141,$E141))</f>
        <v/>
      </c>
      <c r="G141" s="6" t="str">
        <f aca="false">IF(AND($A141="",$B141="",$C141="",$D141="",$E141=""),"",IF($I141&lt;&gt;"","Check details",IF($F141&lt;AsOf,"Overdue",IF($F141=AsOf,"Due today",IF($F141&lt;=AsOf+30,"Due in next 30 days","Later")))))</f>
        <v/>
      </c>
      <c r="H141" s="15" t="str">
        <f aca="false">IF($F141="","",$F141-AsOf)</f>
        <v/>
      </c>
      <c r="I141" s="16" t="str">
        <f aca="false">IF(AND($A141="",$B141="",$C141="",$D141="",$E141=""),"",TRIM(IF($A141="","Name missing. ","")&amp;IF($B141="","Site missing. ","")&amp;IF($D141="","Last service missing. ",IF(NOT(ISNUMBER($D141)),"Last service isn't a date. ",IF(OR($D141&lt;18264,$D141&lt;&gt;INT($D141)),"Last service isn't a valid date. ",IF($D141&gt;AsOf,"Last service is after the as-of date. ",""))))&amp;IF($E141="","Interval missing.",IF(NOT(ISNUMBER($E141)),"Interval must be a number.",IF($E141&lt;&gt;INT($E141),"Interval must be whole months.",IF(OR($E141&lt;1,$E141&gt;240),"Interval must be 1-240 months.",""))))))</f>
        <v/>
      </c>
      <c r="J141" s="17" t="str">
        <f aca="false">IF(AND($A141="",$B141="",$C141="",$D141="",$E141=""),"",IF('Due List'!$B$4="Check details",IF($G141="Check details",ROW(),""),IF('Due List'!$B$4="All records",IF($G141="Check details",ROW()/100000,$F141+ROW()/100000),IF(OR($G141="Overdue",$G141="Due today",$G141="Due in next 30 days"),$F141+ROW()/100000,""))))</f>
        <v/>
      </c>
    </row>
    <row r="142" customFormat="false" ht="15" hidden="false" customHeight="false" outlineLevel="0" collapsed="false">
      <c r="A142" s="11"/>
      <c r="B142" s="11"/>
      <c r="C142" s="11"/>
      <c r="D142" s="12"/>
      <c r="E142" s="13"/>
      <c r="F142" s="14" t="str">
        <f aca="false">IF(OR(AND($A142="",$B142="",$C142="",$D142="",$E142=""),$I142&lt;&gt;""),"",EDATE($D142,$E142))</f>
        <v/>
      </c>
      <c r="G142" s="6" t="str">
        <f aca="false">IF(AND($A142="",$B142="",$C142="",$D142="",$E142=""),"",IF($I142&lt;&gt;"","Check details",IF($F142&lt;AsOf,"Overdue",IF($F142=AsOf,"Due today",IF($F142&lt;=AsOf+30,"Due in next 30 days","Later")))))</f>
        <v/>
      </c>
      <c r="H142" s="15" t="str">
        <f aca="false">IF($F142="","",$F142-AsOf)</f>
        <v/>
      </c>
      <c r="I142" s="16" t="str">
        <f aca="false">IF(AND($A142="",$B142="",$C142="",$D142="",$E142=""),"",TRIM(IF($A142="","Name missing. ","")&amp;IF($B142="","Site missing. ","")&amp;IF($D142="","Last service missing. ",IF(NOT(ISNUMBER($D142)),"Last service isn't a date. ",IF(OR($D142&lt;18264,$D142&lt;&gt;INT($D142)),"Last service isn't a valid date. ",IF($D142&gt;AsOf,"Last service is after the as-of date. ",""))))&amp;IF($E142="","Interval missing.",IF(NOT(ISNUMBER($E142)),"Interval must be a number.",IF($E142&lt;&gt;INT($E142),"Interval must be whole months.",IF(OR($E142&lt;1,$E142&gt;240),"Interval must be 1-240 months.",""))))))</f>
        <v/>
      </c>
      <c r="J142" s="17" t="str">
        <f aca="false">IF(AND($A142="",$B142="",$C142="",$D142="",$E142=""),"",IF('Due List'!$B$4="Check details",IF($G142="Check details",ROW(),""),IF('Due List'!$B$4="All records",IF($G142="Check details",ROW()/100000,$F142+ROW()/100000),IF(OR($G142="Overdue",$G142="Due today",$G142="Due in next 30 days"),$F142+ROW()/100000,""))))</f>
        <v/>
      </c>
    </row>
    <row r="143" customFormat="false" ht="15" hidden="false" customHeight="false" outlineLevel="0" collapsed="false">
      <c r="A143" s="11"/>
      <c r="B143" s="11"/>
      <c r="C143" s="11"/>
      <c r="D143" s="12"/>
      <c r="E143" s="13"/>
      <c r="F143" s="14" t="str">
        <f aca="false">IF(OR(AND($A143="",$B143="",$C143="",$D143="",$E143=""),$I143&lt;&gt;""),"",EDATE($D143,$E143))</f>
        <v/>
      </c>
      <c r="G143" s="6" t="str">
        <f aca="false">IF(AND($A143="",$B143="",$C143="",$D143="",$E143=""),"",IF($I143&lt;&gt;"","Check details",IF($F143&lt;AsOf,"Overdue",IF($F143=AsOf,"Due today",IF($F143&lt;=AsOf+30,"Due in next 30 days","Later")))))</f>
        <v/>
      </c>
      <c r="H143" s="15" t="str">
        <f aca="false">IF($F143="","",$F143-AsOf)</f>
        <v/>
      </c>
      <c r="I143" s="16" t="str">
        <f aca="false">IF(AND($A143="",$B143="",$C143="",$D143="",$E143=""),"",TRIM(IF($A143="","Name missing. ","")&amp;IF($B143="","Site missing. ","")&amp;IF($D143="","Last service missing. ",IF(NOT(ISNUMBER($D143)),"Last service isn't a date. ",IF(OR($D143&lt;18264,$D143&lt;&gt;INT($D143)),"Last service isn't a valid date. ",IF($D143&gt;AsOf,"Last service is after the as-of date. ",""))))&amp;IF($E143="","Interval missing.",IF(NOT(ISNUMBER($E143)),"Interval must be a number.",IF($E143&lt;&gt;INT($E143),"Interval must be whole months.",IF(OR($E143&lt;1,$E143&gt;240),"Interval must be 1-240 months.",""))))))</f>
        <v/>
      </c>
      <c r="J143" s="17" t="str">
        <f aca="false">IF(AND($A143="",$B143="",$C143="",$D143="",$E143=""),"",IF('Due List'!$B$4="Check details",IF($G143="Check details",ROW(),""),IF('Due List'!$B$4="All records",IF($G143="Check details",ROW()/100000,$F143+ROW()/100000),IF(OR($G143="Overdue",$G143="Due today",$G143="Due in next 30 days"),$F143+ROW()/100000,""))))</f>
        <v/>
      </c>
    </row>
    <row r="144" customFormat="false" ht="15" hidden="false" customHeight="false" outlineLevel="0" collapsed="false">
      <c r="A144" s="11"/>
      <c r="B144" s="11"/>
      <c r="C144" s="11"/>
      <c r="D144" s="12"/>
      <c r="E144" s="13"/>
      <c r="F144" s="14" t="str">
        <f aca="false">IF(OR(AND($A144="",$B144="",$C144="",$D144="",$E144=""),$I144&lt;&gt;""),"",EDATE($D144,$E144))</f>
        <v/>
      </c>
      <c r="G144" s="6" t="str">
        <f aca="false">IF(AND($A144="",$B144="",$C144="",$D144="",$E144=""),"",IF($I144&lt;&gt;"","Check details",IF($F144&lt;AsOf,"Overdue",IF($F144=AsOf,"Due today",IF($F144&lt;=AsOf+30,"Due in next 30 days","Later")))))</f>
        <v/>
      </c>
      <c r="H144" s="15" t="str">
        <f aca="false">IF($F144="","",$F144-AsOf)</f>
        <v/>
      </c>
      <c r="I144" s="16" t="str">
        <f aca="false">IF(AND($A144="",$B144="",$C144="",$D144="",$E144=""),"",TRIM(IF($A144="","Name missing. ","")&amp;IF($B144="","Site missing. ","")&amp;IF($D144="","Last service missing. ",IF(NOT(ISNUMBER($D144)),"Last service isn't a date. ",IF(OR($D144&lt;18264,$D144&lt;&gt;INT($D144)),"Last service isn't a valid date. ",IF($D144&gt;AsOf,"Last service is after the as-of date. ",""))))&amp;IF($E144="","Interval missing.",IF(NOT(ISNUMBER($E144)),"Interval must be a number.",IF($E144&lt;&gt;INT($E144),"Interval must be whole months.",IF(OR($E144&lt;1,$E144&gt;240),"Interval must be 1-240 months.",""))))))</f>
        <v/>
      </c>
      <c r="J144" s="17" t="str">
        <f aca="false">IF(AND($A144="",$B144="",$C144="",$D144="",$E144=""),"",IF('Due List'!$B$4="Check details",IF($G144="Check details",ROW(),""),IF('Due List'!$B$4="All records",IF($G144="Check details",ROW()/100000,$F144+ROW()/100000),IF(OR($G144="Overdue",$G144="Due today",$G144="Due in next 30 days"),$F144+ROW()/100000,""))))</f>
        <v/>
      </c>
    </row>
    <row r="145" customFormat="false" ht="15" hidden="false" customHeight="false" outlineLevel="0" collapsed="false">
      <c r="A145" s="11"/>
      <c r="B145" s="11"/>
      <c r="C145" s="11"/>
      <c r="D145" s="12"/>
      <c r="E145" s="13"/>
      <c r="F145" s="14" t="str">
        <f aca="false">IF(OR(AND($A145="",$B145="",$C145="",$D145="",$E145=""),$I145&lt;&gt;""),"",EDATE($D145,$E145))</f>
        <v/>
      </c>
      <c r="G145" s="6" t="str">
        <f aca="false">IF(AND($A145="",$B145="",$C145="",$D145="",$E145=""),"",IF($I145&lt;&gt;"","Check details",IF($F145&lt;AsOf,"Overdue",IF($F145=AsOf,"Due today",IF($F145&lt;=AsOf+30,"Due in next 30 days","Later")))))</f>
        <v/>
      </c>
      <c r="H145" s="15" t="str">
        <f aca="false">IF($F145="","",$F145-AsOf)</f>
        <v/>
      </c>
      <c r="I145" s="16" t="str">
        <f aca="false">IF(AND($A145="",$B145="",$C145="",$D145="",$E145=""),"",TRIM(IF($A145="","Name missing. ","")&amp;IF($B145="","Site missing. ","")&amp;IF($D145="","Last service missing. ",IF(NOT(ISNUMBER($D145)),"Last service isn't a date. ",IF(OR($D145&lt;18264,$D145&lt;&gt;INT($D145)),"Last service isn't a valid date. ",IF($D145&gt;AsOf,"Last service is after the as-of date. ",""))))&amp;IF($E145="","Interval missing.",IF(NOT(ISNUMBER($E145)),"Interval must be a number.",IF($E145&lt;&gt;INT($E145),"Interval must be whole months.",IF(OR($E145&lt;1,$E145&gt;240),"Interval must be 1-240 months.",""))))))</f>
        <v/>
      </c>
      <c r="J145" s="17" t="str">
        <f aca="false">IF(AND($A145="",$B145="",$C145="",$D145="",$E145=""),"",IF('Due List'!$B$4="Check details",IF($G145="Check details",ROW(),""),IF('Due List'!$B$4="All records",IF($G145="Check details",ROW()/100000,$F145+ROW()/100000),IF(OR($G145="Overdue",$G145="Due today",$G145="Due in next 30 days"),$F145+ROW()/100000,""))))</f>
        <v/>
      </c>
    </row>
    <row r="146" customFormat="false" ht="15" hidden="false" customHeight="false" outlineLevel="0" collapsed="false">
      <c r="A146" s="11"/>
      <c r="B146" s="11"/>
      <c r="C146" s="11"/>
      <c r="D146" s="12"/>
      <c r="E146" s="13"/>
      <c r="F146" s="14" t="str">
        <f aca="false">IF(OR(AND($A146="",$B146="",$C146="",$D146="",$E146=""),$I146&lt;&gt;""),"",EDATE($D146,$E146))</f>
        <v/>
      </c>
      <c r="G146" s="6" t="str">
        <f aca="false">IF(AND($A146="",$B146="",$C146="",$D146="",$E146=""),"",IF($I146&lt;&gt;"","Check details",IF($F146&lt;AsOf,"Overdue",IF($F146=AsOf,"Due today",IF($F146&lt;=AsOf+30,"Due in next 30 days","Later")))))</f>
        <v/>
      </c>
      <c r="H146" s="15" t="str">
        <f aca="false">IF($F146="","",$F146-AsOf)</f>
        <v/>
      </c>
      <c r="I146" s="16" t="str">
        <f aca="false">IF(AND($A146="",$B146="",$C146="",$D146="",$E146=""),"",TRIM(IF($A146="","Name missing. ","")&amp;IF($B146="","Site missing. ","")&amp;IF($D146="","Last service missing. ",IF(NOT(ISNUMBER($D146)),"Last service isn't a date. ",IF(OR($D146&lt;18264,$D146&lt;&gt;INT($D146)),"Last service isn't a valid date. ",IF($D146&gt;AsOf,"Last service is after the as-of date. ",""))))&amp;IF($E146="","Interval missing.",IF(NOT(ISNUMBER($E146)),"Interval must be a number.",IF($E146&lt;&gt;INT($E146),"Interval must be whole months.",IF(OR($E146&lt;1,$E146&gt;240),"Interval must be 1-240 months.",""))))))</f>
        <v/>
      </c>
      <c r="J146" s="17" t="str">
        <f aca="false">IF(AND($A146="",$B146="",$C146="",$D146="",$E146=""),"",IF('Due List'!$B$4="Check details",IF($G146="Check details",ROW(),""),IF('Due List'!$B$4="All records",IF($G146="Check details",ROW()/100000,$F146+ROW()/100000),IF(OR($G146="Overdue",$G146="Due today",$G146="Due in next 30 days"),$F146+ROW()/100000,""))))</f>
        <v/>
      </c>
    </row>
    <row r="147" customFormat="false" ht="15" hidden="false" customHeight="false" outlineLevel="0" collapsed="false">
      <c r="A147" s="11"/>
      <c r="B147" s="11"/>
      <c r="C147" s="11"/>
      <c r="D147" s="12"/>
      <c r="E147" s="13"/>
      <c r="F147" s="14" t="str">
        <f aca="false">IF(OR(AND($A147="",$B147="",$C147="",$D147="",$E147=""),$I147&lt;&gt;""),"",EDATE($D147,$E147))</f>
        <v/>
      </c>
      <c r="G147" s="6" t="str">
        <f aca="false">IF(AND($A147="",$B147="",$C147="",$D147="",$E147=""),"",IF($I147&lt;&gt;"","Check details",IF($F147&lt;AsOf,"Overdue",IF($F147=AsOf,"Due today",IF($F147&lt;=AsOf+30,"Due in next 30 days","Later")))))</f>
        <v/>
      </c>
      <c r="H147" s="15" t="str">
        <f aca="false">IF($F147="","",$F147-AsOf)</f>
        <v/>
      </c>
      <c r="I147" s="16" t="str">
        <f aca="false">IF(AND($A147="",$B147="",$C147="",$D147="",$E147=""),"",TRIM(IF($A147="","Name missing. ","")&amp;IF($B147="","Site missing. ","")&amp;IF($D147="","Last service missing. ",IF(NOT(ISNUMBER($D147)),"Last service isn't a date. ",IF(OR($D147&lt;18264,$D147&lt;&gt;INT($D147)),"Last service isn't a valid date. ",IF($D147&gt;AsOf,"Last service is after the as-of date. ",""))))&amp;IF($E147="","Interval missing.",IF(NOT(ISNUMBER($E147)),"Interval must be a number.",IF($E147&lt;&gt;INT($E147),"Interval must be whole months.",IF(OR($E147&lt;1,$E147&gt;240),"Interval must be 1-240 months.",""))))))</f>
        <v/>
      </c>
      <c r="J147" s="17" t="str">
        <f aca="false">IF(AND($A147="",$B147="",$C147="",$D147="",$E147=""),"",IF('Due List'!$B$4="Check details",IF($G147="Check details",ROW(),""),IF('Due List'!$B$4="All records",IF($G147="Check details",ROW()/100000,$F147+ROW()/100000),IF(OR($G147="Overdue",$G147="Due today",$G147="Due in next 30 days"),$F147+ROW()/100000,""))))</f>
        <v/>
      </c>
    </row>
    <row r="148" customFormat="false" ht="15" hidden="false" customHeight="false" outlineLevel="0" collapsed="false">
      <c r="A148" s="11"/>
      <c r="B148" s="11"/>
      <c r="C148" s="11"/>
      <c r="D148" s="12"/>
      <c r="E148" s="13"/>
      <c r="F148" s="14" t="str">
        <f aca="false">IF(OR(AND($A148="",$B148="",$C148="",$D148="",$E148=""),$I148&lt;&gt;""),"",EDATE($D148,$E148))</f>
        <v/>
      </c>
      <c r="G148" s="6" t="str">
        <f aca="false">IF(AND($A148="",$B148="",$C148="",$D148="",$E148=""),"",IF($I148&lt;&gt;"","Check details",IF($F148&lt;AsOf,"Overdue",IF($F148=AsOf,"Due today",IF($F148&lt;=AsOf+30,"Due in next 30 days","Later")))))</f>
        <v/>
      </c>
      <c r="H148" s="15" t="str">
        <f aca="false">IF($F148="","",$F148-AsOf)</f>
        <v/>
      </c>
      <c r="I148" s="16" t="str">
        <f aca="false">IF(AND($A148="",$B148="",$C148="",$D148="",$E148=""),"",TRIM(IF($A148="","Name missing. ","")&amp;IF($B148="","Site missing. ","")&amp;IF($D148="","Last service missing. ",IF(NOT(ISNUMBER($D148)),"Last service isn't a date. ",IF(OR($D148&lt;18264,$D148&lt;&gt;INT($D148)),"Last service isn't a valid date. ",IF($D148&gt;AsOf,"Last service is after the as-of date. ",""))))&amp;IF($E148="","Interval missing.",IF(NOT(ISNUMBER($E148)),"Interval must be a number.",IF($E148&lt;&gt;INT($E148),"Interval must be whole months.",IF(OR($E148&lt;1,$E148&gt;240),"Interval must be 1-240 months.",""))))))</f>
        <v/>
      </c>
      <c r="J148" s="17" t="str">
        <f aca="false">IF(AND($A148="",$B148="",$C148="",$D148="",$E148=""),"",IF('Due List'!$B$4="Check details",IF($G148="Check details",ROW(),""),IF('Due List'!$B$4="All records",IF($G148="Check details",ROW()/100000,$F148+ROW()/100000),IF(OR($G148="Overdue",$G148="Due today",$G148="Due in next 30 days"),$F148+ROW()/100000,""))))</f>
        <v/>
      </c>
    </row>
    <row r="149" customFormat="false" ht="15" hidden="false" customHeight="false" outlineLevel="0" collapsed="false">
      <c r="A149" s="11"/>
      <c r="B149" s="11"/>
      <c r="C149" s="11"/>
      <c r="D149" s="12"/>
      <c r="E149" s="13"/>
      <c r="F149" s="14" t="str">
        <f aca="false">IF(OR(AND($A149="",$B149="",$C149="",$D149="",$E149=""),$I149&lt;&gt;""),"",EDATE($D149,$E149))</f>
        <v/>
      </c>
      <c r="G149" s="6" t="str">
        <f aca="false">IF(AND($A149="",$B149="",$C149="",$D149="",$E149=""),"",IF($I149&lt;&gt;"","Check details",IF($F149&lt;AsOf,"Overdue",IF($F149=AsOf,"Due today",IF($F149&lt;=AsOf+30,"Due in next 30 days","Later")))))</f>
        <v/>
      </c>
      <c r="H149" s="15" t="str">
        <f aca="false">IF($F149="","",$F149-AsOf)</f>
        <v/>
      </c>
      <c r="I149" s="16" t="str">
        <f aca="false">IF(AND($A149="",$B149="",$C149="",$D149="",$E149=""),"",TRIM(IF($A149="","Name missing. ","")&amp;IF($B149="","Site missing. ","")&amp;IF($D149="","Last service missing. ",IF(NOT(ISNUMBER($D149)),"Last service isn't a date. ",IF(OR($D149&lt;18264,$D149&lt;&gt;INT($D149)),"Last service isn't a valid date. ",IF($D149&gt;AsOf,"Last service is after the as-of date. ",""))))&amp;IF($E149="","Interval missing.",IF(NOT(ISNUMBER($E149)),"Interval must be a number.",IF($E149&lt;&gt;INT($E149),"Interval must be whole months.",IF(OR($E149&lt;1,$E149&gt;240),"Interval must be 1-240 months.",""))))))</f>
        <v/>
      </c>
      <c r="J149" s="17" t="str">
        <f aca="false">IF(AND($A149="",$B149="",$C149="",$D149="",$E149=""),"",IF('Due List'!$B$4="Check details",IF($G149="Check details",ROW(),""),IF('Due List'!$B$4="All records",IF($G149="Check details",ROW()/100000,$F149+ROW()/100000),IF(OR($G149="Overdue",$G149="Due today",$G149="Due in next 30 days"),$F149+ROW()/100000,""))))</f>
        <v/>
      </c>
    </row>
    <row r="150" customFormat="false" ht="15" hidden="false" customHeight="false" outlineLevel="0" collapsed="false">
      <c r="A150" s="11"/>
      <c r="B150" s="11"/>
      <c r="C150" s="11"/>
      <c r="D150" s="12"/>
      <c r="E150" s="13"/>
      <c r="F150" s="14" t="str">
        <f aca="false">IF(OR(AND($A150="",$B150="",$C150="",$D150="",$E150=""),$I150&lt;&gt;""),"",EDATE($D150,$E150))</f>
        <v/>
      </c>
      <c r="G150" s="6" t="str">
        <f aca="false">IF(AND($A150="",$B150="",$C150="",$D150="",$E150=""),"",IF($I150&lt;&gt;"","Check details",IF($F150&lt;AsOf,"Overdue",IF($F150=AsOf,"Due today",IF($F150&lt;=AsOf+30,"Due in next 30 days","Later")))))</f>
        <v/>
      </c>
      <c r="H150" s="15" t="str">
        <f aca="false">IF($F150="","",$F150-AsOf)</f>
        <v/>
      </c>
      <c r="I150" s="16" t="str">
        <f aca="false">IF(AND($A150="",$B150="",$C150="",$D150="",$E150=""),"",TRIM(IF($A150="","Name missing. ","")&amp;IF($B150="","Site missing. ","")&amp;IF($D150="","Last service missing. ",IF(NOT(ISNUMBER($D150)),"Last service isn't a date. ",IF(OR($D150&lt;18264,$D150&lt;&gt;INT($D150)),"Last service isn't a valid date. ",IF($D150&gt;AsOf,"Last service is after the as-of date. ",""))))&amp;IF($E150="","Interval missing.",IF(NOT(ISNUMBER($E150)),"Interval must be a number.",IF($E150&lt;&gt;INT($E150),"Interval must be whole months.",IF(OR($E150&lt;1,$E150&gt;240),"Interval must be 1-240 months.",""))))))</f>
        <v/>
      </c>
      <c r="J150" s="17" t="str">
        <f aca="false">IF(AND($A150="",$B150="",$C150="",$D150="",$E150=""),"",IF('Due List'!$B$4="Check details",IF($G150="Check details",ROW(),""),IF('Due List'!$B$4="All records",IF($G150="Check details",ROW()/100000,$F150+ROW()/100000),IF(OR($G150="Overdue",$G150="Due today",$G150="Due in next 30 days"),$F150+ROW()/100000,""))))</f>
        <v/>
      </c>
    </row>
    <row r="151" customFormat="false" ht="15" hidden="false" customHeight="false" outlineLevel="0" collapsed="false">
      <c r="A151" s="11"/>
      <c r="B151" s="11"/>
      <c r="C151" s="11"/>
      <c r="D151" s="12"/>
      <c r="E151" s="13"/>
      <c r="F151" s="14" t="str">
        <f aca="false">IF(OR(AND($A151="",$B151="",$C151="",$D151="",$E151=""),$I151&lt;&gt;""),"",EDATE($D151,$E151))</f>
        <v/>
      </c>
      <c r="G151" s="6" t="str">
        <f aca="false">IF(AND($A151="",$B151="",$C151="",$D151="",$E151=""),"",IF($I151&lt;&gt;"","Check details",IF($F151&lt;AsOf,"Overdue",IF($F151=AsOf,"Due today",IF($F151&lt;=AsOf+30,"Due in next 30 days","Later")))))</f>
        <v/>
      </c>
      <c r="H151" s="15" t="str">
        <f aca="false">IF($F151="","",$F151-AsOf)</f>
        <v/>
      </c>
      <c r="I151" s="16" t="str">
        <f aca="false">IF(AND($A151="",$B151="",$C151="",$D151="",$E151=""),"",TRIM(IF($A151="","Name missing. ","")&amp;IF($B151="","Site missing. ","")&amp;IF($D151="","Last service missing. ",IF(NOT(ISNUMBER($D151)),"Last service isn't a date. ",IF(OR($D151&lt;18264,$D151&lt;&gt;INT($D151)),"Last service isn't a valid date. ",IF($D151&gt;AsOf,"Last service is after the as-of date. ",""))))&amp;IF($E151="","Interval missing.",IF(NOT(ISNUMBER($E151)),"Interval must be a number.",IF($E151&lt;&gt;INT($E151),"Interval must be whole months.",IF(OR($E151&lt;1,$E151&gt;240),"Interval must be 1-240 months.",""))))))</f>
        <v/>
      </c>
      <c r="J151" s="17" t="str">
        <f aca="false">IF(AND($A151="",$B151="",$C151="",$D151="",$E151=""),"",IF('Due List'!$B$4="Check details",IF($G151="Check details",ROW(),""),IF('Due List'!$B$4="All records",IF($G151="Check details",ROW()/100000,$F151+ROW()/100000),IF(OR($G151="Overdue",$G151="Due today",$G151="Due in next 30 days"),$F151+ROW()/100000,""))))</f>
        <v/>
      </c>
    </row>
    <row r="152" customFormat="false" ht="15" hidden="false" customHeight="false" outlineLevel="0" collapsed="false">
      <c r="A152" s="11"/>
      <c r="B152" s="11"/>
      <c r="C152" s="11"/>
      <c r="D152" s="12"/>
      <c r="E152" s="13"/>
      <c r="F152" s="14" t="str">
        <f aca="false">IF(OR(AND($A152="",$B152="",$C152="",$D152="",$E152=""),$I152&lt;&gt;""),"",EDATE($D152,$E152))</f>
        <v/>
      </c>
      <c r="G152" s="6" t="str">
        <f aca="false">IF(AND($A152="",$B152="",$C152="",$D152="",$E152=""),"",IF($I152&lt;&gt;"","Check details",IF($F152&lt;AsOf,"Overdue",IF($F152=AsOf,"Due today",IF($F152&lt;=AsOf+30,"Due in next 30 days","Later")))))</f>
        <v/>
      </c>
      <c r="H152" s="15" t="str">
        <f aca="false">IF($F152="","",$F152-AsOf)</f>
        <v/>
      </c>
      <c r="I152" s="16" t="str">
        <f aca="false">IF(AND($A152="",$B152="",$C152="",$D152="",$E152=""),"",TRIM(IF($A152="","Name missing. ","")&amp;IF($B152="","Site missing. ","")&amp;IF($D152="","Last service missing. ",IF(NOT(ISNUMBER($D152)),"Last service isn't a date. ",IF(OR($D152&lt;18264,$D152&lt;&gt;INT($D152)),"Last service isn't a valid date. ",IF($D152&gt;AsOf,"Last service is after the as-of date. ",""))))&amp;IF($E152="","Interval missing.",IF(NOT(ISNUMBER($E152)),"Interval must be a number.",IF($E152&lt;&gt;INT($E152),"Interval must be whole months.",IF(OR($E152&lt;1,$E152&gt;240),"Interval must be 1-240 months.",""))))))</f>
        <v/>
      </c>
      <c r="J152" s="17" t="str">
        <f aca="false">IF(AND($A152="",$B152="",$C152="",$D152="",$E152=""),"",IF('Due List'!$B$4="Check details",IF($G152="Check details",ROW(),""),IF('Due List'!$B$4="All records",IF($G152="Check details",ROW()/100000,$F152+ROW()/100000),IF(OR($G152="Overdue",$G152="Due today",$G152="Due in next 30 days"),$F152+ROW()/100000,""))))</f>
        <v/>
      </c>
    </row>
    <row r="153" customFormat="false" ht="15" hidden="false" customHeight="false" outlineLevel="0" collapsed="false">
      <c r="A153" s="11"/>
      <c r="B153" s="11"/>
      <c r="C153" s="11"/>
      <c r="D153" s="12"/>
      <c r="E153" s="13"/>
      <c r="F153" s="14" t="str">
        <f aca="false">IF(OR(AND($A153="",$B153="",$C153="",$D153="",$E153=""),$I153&lt;&gt;""),"",EDATE($D153,$E153))</f>
        <v/>
      </c>
      <c r="G153" s="6" t="str">
        <f aca="false">IF(AND($A153="",$B153="",$C153="",$D153="",$E153=""),"",IF($I153&lt;&gt;"","Check details",IF($F153&lt;AsOf,"Overdue",IF($F153=AsOf,"Due today",IF($F153&lt;=AsOf+30,"Due in next 30 days","Later")))))</f>
        <v/>
      </c>
      <c r="H153" s="15" t="str">
        <f aca="false">IF($F153="","",$F153-AsOf)</f>
        <v/>
      </c>
      <c r="I153" s="16" t="str">
        <f aca="false">IF(AND($A153="",$B153="",$C153="",$D153="",$E153=""),"",TRIM(IF($A153="","Name missing. ","")&amp;IF($B153="","Site missing. ","")&amp;IF($D153="","Last service missing. ",IF(NOT(ISNUMBER($D153)),"Last service isn't a date. ",IF(OR($D153&lt;18264,$D153&lt;&gt;INT($D153)),"Last service isn't a valid date. ",IF($D153&gt;AsOf,"Last service is after the as-of date. ",""))))&amp;IF($E153="","Interval missing.",IF(NOT(ISNUMBER($E153)),"Interval must be a number.",IF($E153&lt;&gt;INT($E153),"Interval must be whole months.",IF(OR($E153&lt;1,$E153&gt;240),"Interval must be 1-240 months.",""))))))</f>
        <v/>
      </c>
      <c r="J153" s="17" t="str">
        <f aca="false">IF(AND($A153="",$B153="",$C153="",$D153="",$E153=""),"",IF('Due List'!$B$4="Check details",IF($G153="Check details",ROW(),""),IF('Due List'!$B$4="All records",IF($G153="Check details",ROW()/100000,$F153+ROW()/100000),IF(OR($G153="Overdue",$G153="Due today",$G153="Due in next 30 days"),$F153+ROW()/100000,""))))</f>
        <v/>
      </c>
    </row>
    <row r="154" customFormat="false" ht="15" hidden="false" customHeight="false" outlineLevel="0" collapsed="false">
      <c r="A154" s="11"/>
      <c r="B154" s="11"/>
      <c r="C154" s="11"/>
      <c r="D154" s="12"/>
      <c r="E154" s="13"/>
      <c r="F154" s="14" t="str">
        <f aca="false">IF(OR(AND($A154="",$B154="",$C154="",$D154="",$E154=""),$I154&lt;&gt;""),"",EDATE($D154,$E154))</f>
        <v/>
      </c>
      <c r="G154" s="6" t="str">
        <f aca="false">IF(AND($A154="",$B154="",$C154="",$D154="",$E154=""),"",IF($I154&lt;&gt;"","Check details",IF($F154&lt;AsOf,"Overdue",IF($F154=AsOf,"Due today",IF($F154&lt;=AsOf+30,"Due in next 30 days","Later")))))</f>
        <v/>
      </c>
      <c r="H154" s="15" t="str">
        <f aca="false">IF($F154="","",$F154-AsOf)</f>
        <v/>
      </c>
      <c r="I154" s="16" t="str">
        <f aca="false">IF(AND($A154="",$B154="",$C154="",$D154="",$E154=""),"",TRIM(IF($A154="","Name missing. ","")&amp;IF($B154="","Site missing. ","")&amp;IF($D154="","Last service missing. ",IF(NOT(ISNUMBER($D154)),"Last service isn't a date. ",IF(OR($D154&lt;18264,$D154&lt;&gt;INT($D154)),"Last service isn't a valid date. ",IF($D154&gt;AsOf,"Last service is after the as-of date. ",""))))&amp;IF($E154="","Interval missing.",IF(NOT(ISNUMBER($E154)),"Interval must be a number.",IF($E154&lt;&gt;INT($E154),"Interval must be whole months.",IF(OR($E154&lt;1,$E154&gt;240),"Interval must be 1-240 months.",""))))))</f>
        <v/>
      </c>
      <c r="J154" s="17" t="str">
        <f aca="false">IF(AND($A154="",$B154="",$C154="",$D154="",$E154=""),"",IF('Due List'!$B$4="Check details",IF($G154="Check details",ROW(),""),IF('Due List'!$B$4="All records",IF($G154="Check details",ROW()/100000,$F154+ROW()/100000),IF(OR($G154="Overdue",$G154="Due today",$G154="Due in next 30 days"),$F154+ROW()/100000,""))))</f>
        <v/>
      </c>
    </row>
    <row r="155" customFormat="false" ht="15" hidden="false" customHeight="false" outlineLevel="0" collapsed="false">
      <c r="A155" s="11"/>
      <c r="B155" s="11"/>
      <c r="C155" s="11"/>
      <c r="D155" s="12"/>
      <c r="E155" s="13"/>
      <c r="F155" s="14" t="str">
        <f aca="false">IF(OR(AND($A155="",$B155="",$C155="",$D155="",$E155=""),$I155&lt;&gt;""),"",EDATE($D155,$E155))</f>
        <v/>
      </c>
      <c r="G155" s="6" t="str">
        <f aca="false">IF(AND($A155="",$B155="",$C155="",$D155="",$E155=""),"",IF($I155&lt;&gt;"","Check details",IF($F155&lt;AsOf,"Overdue",IF($F155=AsOf,"Due today",IF($F155&lt;=AsOf+30,"Due in next 30 days","Later")))))</f>
        <v/>
      </c>
      <c r="H155" s="15" t="str">
        <f aca="false">IF($F155="","",$F155-AsOf)</f>
        <v/>
      </c>
      <c r="I155" s="16" t="str">
        <f aca="false">IF(AND($A155="",$B155="",$C155="",$D155="",$E155=""),"",TRIM(IF($A155="","Name missing. ","")&amp;IF($B155="","Site missing. ","")&amp;IF($D155="","Last service missing. ",IF(NOT(ISNUMBER($D155)),"Last service isn't a date. ",IF(OR($D155&lt;18264,$D155&lt;&gt;INT($D155)),"Last service isn't a valid date. ",IF($D155&gt;AsOf,"Last service is after the as-of date. ",""))))&amp;IF($E155="","Interval missing.",IF(NOT(ISNUMBER($E155)),"Interval must be a number.",IF($E155&lt;&gt;INT($E155),"Interval must be whole months.",IF(OR($E155&lt;1,$E155&gt;240),"Interval must be 1-240 months.",""))))))</f>
        <v/>
      </c>
      <c r="J155" s="17" t="str">
        <f aca="false">IF(AND($A155="",$B155="",$C155="",$D155="",$E155=""),"",IF('Due List'!$B$4="Check details",IF($G155="Check details",ROW(),""),IF('Due List'!$B$4="All records",IF($G155="Check details",ROW()/100000,$F155+ROW()/100000),IF(OR($G155="Overdue",$G155="Due today",$G155="Due in next 30 days"),$F155+ROW()/100000,""))))</f>
        <v/>
      </c>
    </row>
    <row r="156" customFormat="false" ht="15" hidden="false" customHeight="false" outlineLevel="0" collapsed="false">
      <c r="A156" s="11"/>
      <c r="B156" s="11"/>
      <c r="C156" s="11"/>
      <c r="D156" s="12"/>
      <c r="E156" s="13"/>
      <c r="F156" s="14" t="str">
        <f aca="false">IF(OR(AND($A156="",$B156="",$C156="",$D156="",$E156=""),$I156&lt;&gt;""),"",EDATE($D156,$E156))</f>
        <v/>
      </c>
      <c r="G156" s="6" t="str">
        <f aca="false">IF(AND($A156="",$B156="",$C156="",$D156="",$E156=""),"",IF($I156&lt;&gt;"","Check details",IF($F156&lt;AsOf,"Overdue",IF($F156=AsOf,"Due today",IF($F156&lt;=AsOf+30,"Due in next 30 days","Later")))))</f>
        <v/>
      </c>
      <c r="H156" s="15" t="str">
        <f aca="false">IF($F156="","",$F156-AsOf)</f>
        <v/>
      </c>
      <c r="I156" s="16" t="str">
        <f aca="false">IF(AND($A156="",$B156="",$C156="",$D156="",$E156=""),"",TRIM(IF($A156="","Name missing. ","")&amp;IF($B156="","Site missing. ","")&amp;IF($D156="","Last service missing. ",IF(NOT(ISNUMBER($D156)),"Last service isn't a date. ",IF(OR($D156&lt;18264,$D156&lt;&gt;INT($D156)),"Last service isn't a valid date. ",IF($D156&gt;AsOf,"Last service is after the as-of date. ",""))))&amp;IF($E156="","Interval missing.",IF(NOT(ISNUMBER($E156)),"Interval must be a number.",IF($E156&lt;&gt;INT($E156),"Interval must be whole months.",IF(OR($E156&lt;1,$E156&gt;240),"Interval must be 1-240 months.",""))))))</f>
        <v/>
      </c>
      <c r="J156" s="17" t="str">
        <f aca="false">IF(AND($A156="",$B156="",$C156="",$D156="",$E156=""),"",IF('Due List'!$B$4="Check details",IF($G156="Check details",ROW(),""),IF('Due List'!$B$4="All records",IF($G156="Check details",ROW()/100000,$F156+ROW()/100000),IF(OR($G156="Overdue",$G156="Due today",$G156="Due in next 30 days"),$F156+ROW()/100000,""))))</f>
        <v/>
      </c>
    </row>
    <row r="157" customFormat="false" ht="15" hidden="false" customHeight="false" outlineLevel="0" collapsed="false">
      <c r="A157" s="11"/>
      <c r="B157" s="11"/>
      <c r="C157" s="11"/>
      <c r="D157" s="12"/>
      <c r="E157" s="13"/>
      <c r="F157" s="14" t="str">
        <f aca="false">IF(OR(AND($A157="",$B157="",$C157="",$D157="",$E157=""),$I157&lt;&gt;""),"",EDATE($D157,$E157))</f>
        <v/>
      </c>
      <c r="G157" s="6" t="str">
        <f aca="false">IF(AND($A157="",$B157="",$C157="",$D157="",$E157=""),"",IF($I157&lt;&gt;"","Check details",IF($F157&lt;AsOf,"Overdue",IF($F157=AsOf,"Due today",IF($F157&lt;=AsOf+30,"Due in next 30 days","Later")))))</f>
        <v/>
      </c>
      <c r="H157" s="15" t="str">
        <f aca="false">IF($F157="","",$F157-AsOf)</f>
        <v/>
      </c>
      <c r="I157" s="16" t="str">
        <f aca="false">IF(AND($A157="",$B157="",$C157="",$D157="",$E157=""),"",TRIM(IF($A157="","Name missing. ","")&amp;IF($B157="","Site missing. ","")&amp;IF($D157="","Last service missing. ",IF(NOT(ISNUMBER($D157)),"Last service isn't a date. ",IF(OR($D157&lt;18264,$D157&lt;&gt;INT($D157)),"Last service isn't a valid date. ",IF($D157&gt;AsOf,"Last service is after the as-of date. ",""))))&amp;IF($E157="","Interval missing.",IF(NOT(ISNUMBER($E157)),"Interval must be a number.",IF($E157&lt;&gt;INT($E157),"Interval must be whole months.",IF(OR($E157&lt;1,$E157&gt;240),"Interval must be 1-240 months.",""))))))</f>
        <v/>
      </c>
      <c r="J157" s="17" t="str">
        <f aca="false">IF(AND($A157="",$B157="",$C157="",$D157="",$E157=""),"",IF('Due List'!$B$4="Check details",IF($G157="Check details",ROW(),""),IF('Due List'!$B$4="All records",IF($G157="Check details",ROW()/100000,$F157+ROW()/100000),IF(OR($G157="Overdue",$G157="Due today",$G157="Due in next 30 days"),$F157+ROW()/100000,""))))</f>
        <v/>
      </c>
    </row>
    <row r="158" customFormat="false" ht="15" hidden="false" customHeight="false" outlineLevel="0" collapsed="false">
      <c r="A158" s="11"/>
      <c r="B158" s="11"/>
      <c r="C158" s="11"/>
      <c r="D158" s="12"/>
      <c r="E158" s="13"/>
      <c r="F158" s="14" t="str">
        <f aca="false">IF(OR(AND($A158="",$B158="",$C158="",$D158="",$E158=""),$I158&lt;&gt;""),"",EDATE($D158,$E158))</f>
        <v/>
      </c>
      <c r="G158" s="6" t="str">
        <f aca="false">IF(AND($A158="",$B158="",$C158="",$D158="",$E158=""),"",IF($I158&lt;&gt;"","Check details",IF($F158&lt;AsOf,"Overdue",IF($F158=AsOf,"Due today",IF($F158&lt;=AsOf+30,"Due in next 30 days","Later")))))</f>
        <v/>
      </c>
      <c r="H158" s="15" t="str">
        <f aca="false">IF($F158="","",$F158-AsOf)</f>
        <v/>
      </c>
      <c r="I158" s="16" t="str">
        <f aca="false">IF(AND($A158="",$B158="",$C158="",$D158="",$E158=""),"",TRIM(IF($A158="","Name missing. ","")&amp;IF($B158="","Site missing. ","")&amp;IF($D158="","Last service missing. ",IF(NOT(ISNUMBER($D158)),"Last service isn't a date. ",IF(OR($D158&lt;18264,$D158&lt;&gt;INT($D158)),"Last service isn't a valid date. ",IF($D158&gt;AsOf,"Last service is after the as-of date. ",""))))&amp;IF($E158="","Interval missing.",IF(NOT(ISNUMBER($E158)),"Interval must be a number.",IF($E158&lt;&gt;INT($E158),"Interval must be whole months.",IF(OR($E158&lt;1,$E158&gt;240),"Interval must be 1-240 months.",""))))))</f>
        <v/>
      </c>
      <c r="J158" s="17" t="str">
        <f aca="false">IF(AND($A158="",$B158="",$C158="",$D158="",$E158=""),"",IF('Due List'!$B$4="Check details",IF($G158="Check details",ROW(),""),IF('Due List'!$B$4="All records",IF($G158="Check details",ROW()/100000,$F158+ROW()/100000),IF(OR($G158="Overdue",$G158="Due today",$G158="Due in next 30 days"),$F158+ROW()/100000,""))))</f>
        <v/>
      </c>
    </row>
    <row r="159" customFormat="false" ht="15" hidden="false" customHeight="false" outlineLevel="0" collapsed="false">
      <c r="A159" s="11"/>
      <c r="B159" s="11"/>
      <c r="C159" s="11"/>
      <c r="D159" s="12"/>
      <c r="E159" s="13"/>
      <c r="F159" s="14" t="str">
        <f aca="false">IF(OR(AND($A159="",$B159="",$C159="",$D159="",$E159=""),$I159&lt;&gt;""),"",EDATE($D159,$E159))</f>
        <v/>
      </c>
      <c r="G159" s="6" t="str">
        <f aca="false">IF(AND($A159="",$B159="",$C159="",$D159="",$E159=""),"",IF($I159&lt;&gt;"","Check details",IF($F159&lt;AsOf,"Overdue",IF($F159=AsOf,"Due today",IF($F159&lt;=AsOf+30,"Due in next 30 days","Later")))))</f>
        <v/>
      </c>
      <c r="H159" s="15" t="str">
        <f aca="false">IF($F159="","",$F159-AsOf)</f>
        <v/>
      </c>
      <c r="I159" s="16" t="str">
        <f aca="false">IF(AND($A159="",$B159="",$C159="",$D159="",$E159=""),"",TRIM(IF($A159="","Name missing. ","")&amp;IF($B159="","Site missing. ","")&amp;IF($D159="","Last service missing. ",IF(NOT(ISNUMBER($D159)),"Last service isn't a date. ",IF(OR($D159&lt;18264,$D159&lt;&gt;INT($D159)),"Last service isn't a valid date. ",IF($D159&gt;AsOf,"Last service is after the as-of date. ",""))))&amp;IF($E159="","Interval missing.",IF(NOT(ISNUMBER($E159)),"Interval must be a number.",IF($E159&lt;&gt;INT($E159),"Interval must be whole months.",IF(OR($E159&lt;1,$E159&gt;240),"Interval must be 1-240 months.",""))))))</f>
        <v/>
      </c>
      <c r="J159" s="17" t="str">
        <f aca="false">IF(AND($A159="",$B159="",$C159="",$D159="",$E159=""),"",IF('Due List'!$B$4="Check details",IF($G159="Check details",ROW(),""),IF('Due List'!$B$4="All records",IF($G159="Check details",ROW()/100000,$F159+ROW()/100000),IF(OR($G159="Overdue",$G159="Due today",$G159="Due in next 30 days"),$F159+ROW()/100000,""))))</f>
        <v/>
      </c>
    </row>
    <row r="160" customFormat="false" ht="15" hidden="false" customHeight="false" outlineLevel="0" collapsed="false">
      <c r="A160" s="11"/>
      <c r="B160" s="11"/>
      <c r="C160" s="11"/>
      <c r="D160" s="12"/>
      <c r="E160" s="13"/>
      <c r="F160" s="14" t="str">
        <f aca="false">IF(OR(AND($A160="",$B160="",$C160="",$D160="",$E160=""),$I160&lt;&gt;""),"",EDATE($D160,$E160))</f>
        <v/>
      </c>
      <c r="G160" s="6" t="str">
        <f aca="false">IF(AND($A160="",$B160="",$C160="",$D160="",$E160=""),"",IF($I160&lt;&gt;"","Check details",IF($F160&lt;AsOf,"Overdue",IF($F160=AsOf,"Due today",IF($F160&lt;=AsOf+30,"Due in next 30 days","Later")))))</f>
        <v/>
      </c>
      <c r="H160" s="15" t="str">
        <f aca="false">IF($F160="","",$F160-AsOf)</f>
        <v/>
      </c>
      <c r="I160" s="16" t="str">
        <f aca="false">IF(AND($A160="",$B160="",$C160="",$D160="",$E160=""),"",TRIM(IF($A160="","Name missing. ","")&amp;IF($B160="","Site missing. ","")&amp;IF($D160="","Last service missing. ",IF(NOT(ISNUMBER($D160)),"Last service isn't a date. ",IF(OR($D160&lt;18264,$D160&lt;&gt;INT($D160)),"Last service isn't a valid date. ",IF($D160&gt;AsOf,"Last service is after the as-of date. ",""))))&amp;IF($E160="","Interval missing.",IF(NOT(ISNUMBER($E160)),"Interval must be a number.",IF($E160&lt;&gt;INT($E160),"Interval must be whole months.",IF(OR($E160&lt;1,$E160&gt;240),"Interval must be 1-240 months.",""))))))</f>
        <v/>
      </c>
      <c r="J160" s="17" t="str">
        <f aca="false">IF(AND($A160="",$B160="",$C160="",$D160="",$E160=""),"",IF('Due List'!$B$4="Check details",IF($G160="Check details",ROW(),""),IF('Due List'!$B$4="All records",IF($G160="Check details",ROW()/100000,$F160+ROW()/100000),IF(OR($G160="Overdue",$G160="Due today",$G160="Due in next 30 days"),$F160+ROW()/100000,""))))</f>
        <v/>
      </c>
    </row>
    <row r="161" customFormat="false" ht="15" hidden="false" customHeight="false" outlineLevel="0" collapsed="false">
      <c r="A161" s="11"/>
      <c r="B161" s="11"/>
      <c r="C161" s="11"/>
      <c r="D161" s="12"/>
      <c r="E161" s="13"/>
      <c r="F161" s="14" t="str">
        <f aca="false">IF(OR(AND($A161="",$B161="",$C161="",$D161="",$E161=""),$I161&lt;&gt;""),"",EDATE($D161,$E161))</f>
        <v/>
      </c>
      <c r="G161" s="6" t="str">
        <f aca="false">IF(AND($A161="",$B161="",$C161="",$D161="",$E161=""),"",IF($I161&lt;&gt;"","Check details",IF($F161&lt;AsOf,"Overdue",IF($F161=AsOf,"Due today",IF($F161&lt;=AsOf+30,"Due in next 30 days","Later")))))</f>
        <v/>
      </c>
      <c r="H161" s="15" t="str">
        <f aca="false">IF($F161="","",$F161-AsOf)</f>
        <v/>
      </c>
      <c r="I161" s="16" t="str">
        <f aca="false">IF(AND($A161="",$B161="",$C161="",$D161="",$E161=""),"",TRIM(IF($A161="","Name missing. ","")&amp;IF($B161="","Site missing. ","")&amp;IF($D161="","Last service missing. ",IF(NOT(ISNUMBER($D161)),"Last service isn't a date. ",IF(OR($D161&lt;18264,$D161&lt;&gt;INT($D161)),"Last service isn't a valid date. ",IF($D161&gt;AsOf,"Last service is after the as-of date. ",""))))&amp;IF($E161="","Interval missing.",IF(NOT(ISNUMBER($E161)),"Interval must be a number.",IF($E161&lt;&gt;INT($E161),"Interval must be whole months.",IF(OR($E161&lt;1,$E161&gt;240),"Interval must be 1-240 months.",""))))))</f>
        <v/>
      </c>
      <c r="J161" s="17" t="str">
        <f aca="false">IF(AND($A161="",$B161="",$C161="",$D161="",$E161=""),"",IF('Due List'!$B$4="Check details",IF($G161="Check details",ROW(),""),IF('Due List'!$B$4="All records",IF($G161="Check details",ROW()/100000,$F161+ROW()/100000),IF(OR($G161="Overdue",$G161="Due today",$G161="Due in next 30 days"),$F161+ROW()/100000,""))))</f>
        <v/>
      </c>
    </row>
    <row r="162" customFormat="false" ht="15" hidden="false" customHeight="false" outlineLevel="0" collapsed="false">
      <c r="A162" s="11"/>
      <c r="B162" s="11"/>
      <c r="C162" s="11"/>
      <c r="D162" s="12"/>
      <c r="E162" s="13"/>
      <c r="F162" s="14" t="str">
        <f aca="false">IF(OR(AND($A162="",$B162="",$C162="",$D162="",$E162=""),$I162&lt;&gt;""),"",EDATE($D162,$E162))</f>
        <v/>
      </c>
      <c r="G162" s="6" t="str">
        <f aca="false">IF(AND($A162="",$B162="",$C162="",$D162="",$E162=""),"",IF($I162&lt;&gt;"","Check details",IF($F162&lt;AsOf,"Overdue",IF($F162=AsOf,"Due today",IF($F162&lt;=AsOf+30,"Due in next 30 days","Later")))))</f>
        <v/>
      </c>
      <c r="H162" s="15" t="str">
        <f aca="false">IF($F162="","",$F162-AsOf)</f>
        <v/>
      </c>
      <c r="I162" s="16" t="str">
        <f aca="false">IF(AND($A162="",$B162="",$C162="",$D162="",$E162=""),"",TRIM(IF($A162="","Name missing. ","")&amp;IF($B162="","Site missing. ","")&amp;IF($D162="","Last service missing. ",IF(NOT(ISNUMBER($D162)),"Last service isn't a date. ",IF(OR($D162&lt;18264,$D162&lt;&gt;INT($D162)),"Last service isn't a valid date. ",IF($D162&gt;AsOf,"Last service is after the as-of date. ",""))))&amp;IF($E162="","Interval missing.",IF(NOT(ISNUMBER($E162)),"Interval must be a number.",IF($E162&lt;&gt;INT($E162),"Interval must be whole months.",IF(OR($E162&lt;1,$E162&gt;240),"Interval must be 1-240 months.",""))))))</f>
        <v/>
      </c>
      <c r="J162" s="17" t="str">
        <f aca="false">IF(AND($A162="",$B162="",$C162="",$D162="",$E162=""),"",IF('Due List'!$B$4="Check details",IF($G162="Check details",ROW(),""),IF('Due List'!$B$4="All records",IF($G162="Check details",ROW()/100000,$F162+ROW()/100000),IF(OR($G162="Overdue",$G162="Due today",$G162="Due in next 30 days"),$F162+ROW()/100000,""))))</f>
        <v/>
      </c>
    </row>
    <row r="163" customFormat="false" ht="15" hidden="false" customHeight="false" outlineLevel="0" collapsed="false">
      <c r="A163" s="11"/>
      <c r="B163" s="11"/>
      <c r="C163" s="11"/>
      <c r="D163" s="12"/>
      <c r="E163" s="13"/>
      <c r="F163" s="14" t="str">
        <f aca="false">IF(OR(AND($A163="",$B163="",$C163="",$D163="",$E163=""),$I163&lt;&gt;""),"",EDATE($D163,$E163))</f>
        <v/>
      </c>
      <c r="G163" s="6" t="str">
        <f aca="false">IF(AND($A163="",$B163="",$C163="",$D163="",$E163=""),"",IF($I163&lt;&gt;"","Check details",IF($F163&lt;AsOf,"Overdue",IF($F163=AsOf,"Due today",IF($F163&lt;=AsOf+30,"Due in next 30 days","Later")))))</f>
        <v/>
      </c>
      <c r="H163" s="15" t="str">
        <f aca="false">IF($F163="","",$F163-AsOf)</f>
        <v/>
      </c>
      <c r="I163" s="16" t="str">
        <f aca="false">IF(AND($A163="",$B163="",$C163="",$D163="",$E163=""),"",TRIM(IF($A163="","Name missing. ","")&amp;IF($B163="","Site missing. ","")&amp;IF($D163="","Last service missing. ",IF(NOT(ISNUMBER($D163)),"Last service isn't a date. ",IF(OR($D163&lt;18264,$D163&lt;&gt;INT($D163)),"Last service isn't a valid date. ",IF($D163&gt;AsOf,"Last service is after the as-of date. ",""))))&amp;IF($E163="","Interval missing.",IF(NOT(ISNUMBER($E163)),"Interval must be a number.",IF($E163&lt;&gt;INT($E163),"Interval must be whole months.",IF(OR($E163&lt;1,$E163&gt;240),"Interval must be 1-240 months.",""))))))</f>
        <v/>
      </c>
      <c r="J163" s="17" t="str">
        <f aca="false">IF(AND($A163="",$B163="",$C163="",$D163="",$E163=""),"",IF('Due List'!$B$4="Check details",IF($G163="Check details",ROW(),""),IF('Due List'!$B$4="All records",IF($G163="Check details",ROW()/100000,$F163+ROW()/100000),IF(OR($G163="Overdue",$G163="Due today",$G163="Due in next 30 days"),$F163+ROW()/100000,""))))</f>
        <v/>
      </c>
    </row>
    <row r="164" customFormat="false" ht="15" hidden="false" customHeight="false" outlineLevel="0" collapsed="false">
      <c r="A164" s="11"/>
      <c r="B164" s="11"/>
      <c r="C164" s="11"/>
      <c r="D164" s="12"/>
      <c r="E164" s="13"/>
      <c r="F164" s="14" t="str">
        <f aca="false">IF(OR(AND($A164="",$B164="",$C164="",$D164="",$E164=""),$I164&lt;&gt;""),"",EDATE($D164,$E164))</f>
        <v/>
      </c>
      <c r="G164" s="6" t="str">
        <f aca="false">IF(AND($A164="",$B164="",$C164="",$D164="",$E164=""),"",IF($I164&lt;&gt;"","Check details",IF($F164&lt;AsOf,"Overdue",IF($F164=AsOf,"Due today",IF($F164&lt;=AsOf+30,"Due in next 30 days","Later")))))</f>
        <v/>
      </c>
      <c r="H164" s="15" t="str">
        <f aca="false">IF($F164="","",$F164-AsOf)</f>
        <v/>
      </c>
      <c r="I164" s="16" t="str">
        <f aca="false">IF(AND($A164="",$B164="",$C164="",$D164="",$E164=""),"",TRIM(IF($A164="","Name missing. ","")&amp;IF($B164="","Site missing. ","")&amp;IF($D164="","Last service missing. ",IF(NOT(ISNUMBER($D164)),"Last service isn't a date. ",IF(OR($D164&lt;18264,$D164&lt;&gt;INT($D164)),"Last service isn't a valid date. ",IF($D164&gt;AsOf,"Last service is after the as-of date. ",""))))&amp;IF($E164="","Interval missing.",IF(NOT(ISNUMBER($E164)),"Interval must be a number.",IF($E164&lt;&gt;INT($E164),"Interval must be whole months.",IF(OR($E164&lt;1,$E164&gt;240),"Interval must be 1-240 months.",""))))))</f>
        <v/>
      </c>
      <c r="J164" s="17" t="str">
        <f aca="false">IF(AND($A164="",$B164="",$C164="",$D164="",$E164=""),"",IF('Due List'!$B$4="Check details",IF($G164="Check details",ROW(),""),IF('Due List'!$B$4="All records",IF($G164="Check details",ROW()/100000,$F164+ROW()/100000),IF(OR($G164="Overdue",$G164="Due today",$G164="Due in next 30 days"),$F164+ROW()/100000,""))))</f>
        <v/>
      </c>
    </row>
    <row r="165" customFormat="false" ht="15" hidden="false" customHeight="false" outlineLevel="0" collapsed="false">
      <c r="A165" s="11"/>
      <c r="B165" s="11"/>
      <c r="C165" s="11"/>
      <c r="D165" s="12"/>
      <c r="E165" s="13"/>
      <c r="F165" s="14" t="str">
        <f aca="false">IF(OR(AND($A165="",$B165="",$C165="",$D165="",$E165=""),$I165&lt;&gt;""),"",EDATE($D165,$E165))</f>
        <v/>
      </c>
      <c r="G165" s="6" t="str">
        <f aca="false">IF(AND($A165="",$B165="",$C165="",$D165="",$E165=""),"",IF($I165&lt;&gt;"","Check details",IF($F165&lt;AsOf,"Overdue",IF($F165=AsOf,"Due today",IF($F165&lt;=AsOf+30,"Due in next 30 days","Later")))))</f>
        <v/>
      </c>
      <c r="H165" s="15" t="str">
        <f aca="false">IF($F165="","",$F165-AsOf)</f>
        <v/>
      </c>
      <c r="I165" s="16" t="str">
        <f aca="false">IF(AND($A165="",$B165="",$C165="",$D165="",$E165=""),"",TRIM(IF($A165="","Name missing. ","")&amp;IF($B165="","Site missing. ","")&amp;IF($D165="","Last service missing. ",IF(NOT(ISNUMBER($D165)),"Last service isn't a date. ",IF(OR($D165&lt;18264,$D165&lt;&gt;INT($D165)),"Last service isn't a valid date. ",IF($D165&gt;AsOf,"Last service is after the as-of date. ",""))))&amp;IF($E165="","Interval missing.",IF(NOT(ISNUMBER($E165)),"Interval must be a number.",IF($E165&lt;&gt;INT($E165),"Interval must be whole months.",IF(OR($E165&lt;1,$E165&gt;240),"Interval must be 1-240 months.",""))))))</f>
        <v/>
      </c>
      <c r="J165" s="17" t="str">
        <f aca="false">IF(AND($A165="",$B165="",$C165="",$D165="",$E165=""),"",IF('Due List'!$B$4="Check details",IF($G165="Check details",ROW(),""),IF('Due List'!$B$4="All records",IF($G165="Check details",ROW()/100000,$F165+ROW()/100000),IF(OR($G165="Overdue",$G165="Due today",$G165="Due in next 30 days"),$F165+ROW()/100000,""))))</f>
        <v/>
      </c>
    </row>
    <row r="166" customFormat="false" ht="15" hidden="false" customHeight="false" outlineLevel="0" collapsed="false">
      <c r="A166" s="11"/>
      <c r="B166" s="11"/>
      <c r="C166" s="11"/>
      <c r="D166" s="12"/>
      <c r="E166" s="13"/>
      <c r="F166" s="14" t="str">
        <f aca="false">IF(OR(AND($A166="",$B166="",$C166="",$D166="",$E166=""),$I166&lt;&gt;""),"",EDATE($D166,$E166))</f>
        <v/>
      </c>
      <c r="G166" s="6" t="str">
        <f aca="false">IF(AND($A166="",$B166="",$C166="",$D166="",$E166=""),"",IF($I166&lt;&gt;"","Check details",IF($F166&lt;AsOf,"Overdue",IF($F166=AsOf,"Due today",IF($F166&lt;=AsOf+30,"Due in next 30 days","Later")))))</f>
        <v/>
      </c>
      <c r="H166" s="15" t="str">
        <f aca="false">IF($F166="","",$F166-AsOf)</f>
        <v/>
      </c>
      <c r="I166" s="16" t="str">
        <f aca="false">IF(AND($A166="",$B166="",$C166="",$D166="",$E166=""),"",TRIM(IF($A166="","Name missing. ","")&amp;IF($B166="","Site missing. ","")&amp;IF($D166="","Last service missing. ",IF(NOT(ISNUMBER($D166)),"Last service isn't a date. ",IF(OR($D166&lt;18264,$D166&lt;&gt;INT($D166)),"Last service isn't a valid date. ",IF($D166&gt;AsOf,"Last service is after the as-of date. ",""))))&amp;IF($E166="","Interval missing.",IF(NOT(ISNUMBER($E166)),"Interval must be a number.",IF($E166&lt;&gt;INT($E166),"Interval must be whole months.",IF(OR($E166&lt;1,$E166&gt;240),"Interval must be 1-240 months.",""))))))</f>
        <v/>
      </c>
      <c r="J166" s="17" t="str">
        <f aca="false">IF(AND($A166="",$B166="",$C166="",$D166="",$E166=""),"",IF('Due List'!$B$4="Check details",IF($G166="Check details",ROW(),""),IF('Due List'!$B$4="All records",IF($G166="Check details",ROW()/100000,$F166+ROW()/100000),IF(OR($G166="Overdue",$G166="Due today",$G166="Due in next 30 days"),$F166+ROW()/100000,""))))</f>
        <v/>
      </c>
    </row>
    <row r="167" customFormat="false" ht="15" hidden="false" customHeight="false" outlineLevel="0" collapsed="false">
      <c r="A167" s="11"/>
      <c r="B167" s="11"/>
      <c r="C167" s="11"/>
      <c r="D167" s="12"/>
      <c r="E167" s="13"/>
      <c r="F167" s="14" t="str">
        <f aca="false">IF(OR(AND($A167="",$B167="",$C167="",$D167="",$E167=""),$I167&lt;&gt;""),"",EDATE($D167,$E167))</f>
        <v/>
      </c>
      <c r="G167" s="6" t="str">
        <f aca="false">IF(AND($A167="",$B167="",$C167="",$D167="",$E167=""),"",IF($I167&lt;&gt;"","Check details",IF($F167&lt;AsOf,"Overdue",IF($F167=AsOf,"Due today",IF($F167&lt;=AsOf+30,"Due in next 30 days","Later")))))</f>
        <v/>
      </c>
      <c r="H167" s="15" t="str">
        <f aca="false">IF($F167="","",$F167-AsOf)</f>
        <v/>
      </c>
      <c r="I167" s="16" t="str">
        <f aca="false">IF(AND($A167="",$B167="",$C167="",$D167="",$E167=""),"",TRIM(IF($A167="","Name missing. ","")&amp;IF($B167="","Site missing. ","")&amp;IF($D167="","Last service missing. ",IF(NOT(ISNUMBER($D167)),"Last service isn't a date. ",IF(OR($D167&lt;18264,$D167&lt;&gt;INT($D167)),"Last service isn't a valid date. ",IF($D167&gt;AsOf,"Last service is after the as-of date. ",""))))&amp;IF($E167="","Interval missing.",IF(NOT(ISNUMBER($E167)),"Interval must be a number.",IF($E167&lt;&gt;INT($E167),"Interval must be whole months.",IF(OR($E167&lt;1,$E167&gt;240),"Interval must be 1-240 months.",""))))))</f>
        <v/>
      </c>
      <c r="J167" s="17" t="str">
        <f aca="false">IF(AND($A167="",$B167="",$C167="",$D167="",$E167=""),"",IF('Due List'!$B$4="Check details",IF($G167="Check details",ROW(),""),IF('Due List'!$B$4="All records",IF($G167="Check details",ROW()/100000,$F167+ROW()/100000),IF(OR($G167="Overdue",$G167="Due today",$G167="Due in next 30 days"),$F167+ROW()/100000,""))))</f>
        <v/>
      </c>
    </row>
    <row r="168" customFormat="false" ht="15" hidden="false" customHeight="false" outlineLevel="0" collapsed="false">
      <c r="A168" s="11"/>
      <c r="B168" s="11"/>
      <c r="C168" s="11"/>
      <c r="D168" s="12"/>
      <c r="E168" s="13"/>
      <c r="F168" s="14" t="str">
        <f aca="false">IF(OR(AND($A168="",$B168="",$C168="",$D168="",$E168=""),$I168&lt;&gt;""),"",EDATE($D168,$E168))</f>
        <v/>
      </c>
      <c r="G168" s="6" t="str">
        <f aca="false">IF(AND($A168="",$B168="",$C168="",$D168="",$E168=""),"",IF($I168&lt;&gt;"","Check details",IF($F168&lt;AsOf,"Overdue",IF($F168=AsOf,"Due today",IF($F168&lt;=AsOf+30,"Due in next 30 days","Later")))))</f>
        <v/>
      </c>
      <c r="H168" s="15" t="str">
        <f aca="false">IF($F168="","",$F168-AsOf)</f>
        <v/>
      </c>
      <c r="I168" s="16" t="str">
        <f aca="false">IF(AND($A168="",$B168="",$C168="",$D168="",$E168=""),"",TRIM(IF($A168="","Name missing. ","")&amp;IF($B168="","Site missing. ","")&amp;IF($D168="","Last service missing. ",IF(NOT(ISNUMBER($D168)),"Last service isn't a date. ",IF(OR($D168&lt;18264,$D168&lt;&gt;INT($D168)),"Last service isn't a valid date. ",IF($D168&gt;AsOf,"Last service is after the as-of date. ",""))))&amp;IF($E168="","Interval missing.",IF(NOT(ISNUMBER($E168)),"Interval must be a number.",IF($E168&lt;&gt;INT($E168),"Interval must be whole months.",IF(OR($E168&lt;1,$E168&gt;240),"Interval must be 1-240 months.",""))))))</f>
        <v/>
      </c>
      <c r="J168" s="17" t="str">
        <f aca="false">IF(AND($A168="",$B168="",$C168="",$D168="",$E168=""),"",IF('Due List'!$B$4="Check details",IF($G168="Check details",ROW(),""),IF('Due List'!$B$4="All records",IF($G168="Check details",ROW()/100000,$F168+ROW()/100000),IF(OR($G168="Overdue",$G168="Due today",$G168="Due in next 30 days"),$F168+ROW()/100000,""))))</f>
        <v/>
      </c>
    </row>
    <row r="169" customFormat="false" ht="15" hidden="false" customHeight="false" outlineLevel="0" collapsed="false">
      <c r="A169" s="11"/>
      <c r="B169" s="11"/>
      <c r="C169" s="11"/>
      <c r="D169" s="12"/>
      <c r="E169" s="13"/>
      <c r="F169" s="14" t="str">
        <f aca="false">IF(OR(AND($A169="",$B169="",$C169="",$D169="",$E169=""),$I169&lt;&gt;""),"",EDATE($D169,$E169))</f>
        <v/>
      </c>
      <c r="G169" s="6" t="str">
        <f aca="false">IF(AND($A169="",$B169="",$C169="",$D169="",$E169=""),"",IF($I169&lt;&gt;"","Check details",IF($F169&lt;AsOf,"Overdue",IF($F169=AsOf,"Due today",IF($F169&lt;=AsOf+30,"Due in next 30 days","Later")))))</f>
        <v/>
      </c>
      <c r="H169" s="15" t="str">
        <f aca="false">IF($F169="","",$F169-AsOf)</f>
        <v/>
      </c>
      <c r="I169" s="16" t="str">
        <f aca="false">IF(AND($A169="",$B169="",$C169="",$D169="",$E169=""),"",TRIM(IF($A169="","Name missing. ","")&amp;IF($B169="","Site missing. ","")&amp;IF($D169="","Last service missing. ",IF(NOT(ISNUMBER($D169)),"Last service isn't a date. ",IF(OR($D169&lt;18264,$D169&lt;&gt;INT($D169)),"Last service isn't a valid date. ",IF($D169&gt;AsOf,"Last service is after the as-of date. ",""))))&amp;IF($E169="","Interval missing.",IF(NOT(ISNUMBER($E169)),"Interval must be a number.",IF($E169&lt;&gt;INT($E169),"Interval must be whole months.",IF(OR($E169&lt;1,$E169&gt;240),"Interval must be 1-240 months.",""))))))</f>
        <v/>
      </c>
      <c r="J169" s="17" t="str">
        <f aca="false">IF(AND($A169="",$B169="",$C169="",$D169="",$E169=""),"",IF('Due List'!$B$4="Check details",IF($G169="Check details",ROW(),""),IF('Due List'!$B$4="All records",IF($G169="Check details",ROW()/100000,$F169+ROW()/100000),IF(OR($G169="Overdue",$G169="Due today",$G169="Due in next 30 days"),$F169+ROW()/100000,""))))</f>
        <v/>
      </c>
    </row>
    <row r="170" customFormat="false" ht="15" hidden="false" customHeight="false" outlineLevel="0" collapsed="false">
      <c r="A170" s="11"/>
      <c r="B170" s="11"/>
      <c r="C170" s="11"/>
      <c r="D170" s="12"/>
      <c r="E170" s="13"/>
      <c r="F170" s="14" t="str">
        <f aca="false">IF(OR(AND($A170="",$B170="",$C170="",$D170="",$E170=""),$I170&lt;&gt;""),"",EDATE($D170,$E170))</f>
        <v/>
      </c>
      <c r="G170" s="6" t="str">
        <f aca="false">IF(AND($A170="",$B170="",$C170="",$D170="",$E170=""),"",IF($I170&lt;&gt;"","Check details",IF($F170&lt;AsOf,"Overdue",IF($F170=AsOf,"Due today",IF($F170&lt;=AsOf+30,"Due in next 30 days","Later")))))</f>
        <v/>
      </c>
      <c r="H170" s="15" t="str">
        <f aca="false">IF($F170="","",$F170-AsOf)</f>
        <v/>
      </c>
      <c r="I170" s="16" t="str">
        <f aca="false">IF(AND($A170="",$B170="",$C170="",$D170="",$E170=""),"",TRIM(IF($A170="","Name missing. ","")&amp;IF($B170="","Site missing. ","")&amp;IF($D170="","Last service missing. ",IF(NOT(ISNUMBER($D170)),"Last service isn't a date. ",IF(OR($D170&lt;18264,$D170&lt;&gt;INT($D170)),"Last service isn't a valid date. ",IF($D170&gt;AsOf,"Last service is after the as-of date. ",""))))&amp;IF($E170="","Interval missing.",IF(NOT(ISNUMBER($E170)),"Interval must be a number.",IF($E170&lt;&gt;INT($E170),"Interval must be whole months.",IF(OR($E170&lt;1,$E170&gt;240),"Interval must be 1-240 months.",""))))))</f>
        <v/>
      </c>
      <c r="J170" s="17" t="str">
        <f aca="false">IF(AND($A170="",$B170="",$C170="",$D170="",$E170=""),"",IF('Due List'!$B$4="Check details",IF($G170="Check details",ROW(),""),IF('Due List'!$B$4="All records",IF($G170="Check details",ROW()/100000,$F170+ROW()/100000),IF(OR($G170="Overdue",$G170="Due today",$G170="Due in next 30 days"),$F170+ROW()/100000,""))))</f>
        <v/>
      </c>
    </row>
    <row r="171" customFormat="false" ht="15" hidden="false" customHeight="false" outlineLevel="0" collapsed="false">
      <c r="A171" s="11"/>
      <c r="B171" s="11"/>
      <c r="C171" s="11"/>
      <c r="D171" s="12"/>
      <c r="E171" s="13"/>
      <c r="F171" s="14" t="str">
        <f aca="false">IF(OR(AND($A171="",$B171="",$C171="",$D171="",$E171=""),$I171&lt;&gt;""),"",EDATE($D171,$E171))</f>
        <v/>
      </c>
      <c r="G171" s="6" t="str">
        <f aca="false">IF(AND($A171="",$B171="",$C171="",$D171="",$E171=""),"",IF($I171&lt;&gt;"","Check details",IF($F171&lt;AsOf,"Overdue",IF($F171=AsOf,"Due today",IF($F171&lt;=AsOf+30,"Due in next 30 days","Later")))))</f>
        <v/>
      </c>
      <c r="H171" s="15" t="str">
        <f aca="false">IF($F171="","",$F171-AsOf)</f>
        <v/>
      </c>
      <c r="I171" s="16" t="str">
        <f aca="false">IF(AND($A171="",$B171="",$C171="",$D171="",$E171=""),"",TRIM(IF($A171="","Name missing. ","")&amp;IF($B171="","Site missing. ","")&amp;IF($D171="","Last service missing. ",IF(NOT(ISNUMBER($D171)),"Last service isn't a date. ",IF(OR($D171&lt;18264,$D171&lt;&gt;INT($D171)),"Last service isn't a valid date. ",IF($D171&gt;AsOf,"Last service is after the as-of date. ",""))))&amp;IF($E171="","Interval missing.",IF(NOT(ISNUMBER($E171)),"Interval must be a number.",IF($E171&lt;&gt;INT($E171),"Interval must be whole months.",IF(OR($E171&lt;1,$E171&gt;240),"Interval must be 1-240 months.",""))))))</f>
        <v/>
      </c>
      <c r="J171" s="17" t="str">
        <f aca="false">IF(AND($A171="",$B171="",$C171="",$D171="",$E171=""),"",IF('Due List'!$B$4="Check details",IF($G171="Check details",ROW(),""),IF('Due List'!$B$4="All records",IF($G171="Check details",ROW()/100000,$F171+ROW()/100000),IF(OR($G171="Overdue",$G171="Due today",$G171="Due in next 30 days"),$F171+ROW()/100000,""))))</f>
        <v/>
      </c>
    </row>
    <row r="172" customFormat="false" ht="15" hidden="false" customHeight="false" outlineLevel="0" collapsed="false">
      <c r="A172" s="11"/>
      <c r="B172" s="11"/>
      <c r="C172" s="11"/>
      <c r="D172" s="12"/>
      <c r="E172" s="13"/>
      <c r="F172" s="14" t="str">
        <f aca="false">IF(OR(AND($A172="",$B172="",$C172="",$D172="",$E172=""),$I172&lt;&gt;""),"",EDATE($D172,$E172))</f>
        <v/>
      </c>
      <c r="G172" s="6" t="str">
        <f aca="false">IF(AND($A172="",$B172="",$C172="",$D172="",$E172=""),"",IF($I172&lt;&gt;"","Check details",IF($F172&lt;AsOf,"Overdue",IF($F172=AsOf,"Due today",IF($F172&lt;=AsOf+30,"Due in next 30 days","Later")))))</f>
        <v/>
      </c>
      <c r="H172" s="15" t="str">
        <f aca="false">IF($F172="","",$F172-AsOf)</f>
        <v/>
      </c>
      <c r="I172" s="16" t="str">
        <f aca="false">IF(AND($A172="",$B172="",$C172="",$D172="",$E172=""),"",TRIM(IF($A172="","Name missing. ","")&amp;IF($B172="","Site missing. ","")&amp;IF($D172="","Last service missing. ",IF(NOT(ISNUMBER($D172)),"Last service isn't a date. ",IF(OR($D172&lt;18264,$D172&lt;&gt;INT($D172)),"Last service isn't a valid date. ",IF($D172&gt;AsOf,"Last service is after the as-of date. ",""))))&amp;IF($E172="","Interval missing.",IF(NOT(ISNUMBER($E172)),"Interval must be a number.",IF($E172&lt;&gt;INT($E172),"Interval must be whole months.",IF(OR($E172&lt;1,$E172&gt;240),"Interval must be 1-240 months.",""))))))</f>
        <v/>
      </c>
      <c r="J172" s="17" t="str">
        <f aca="false">IF(AND($A172="",$B172="",$C172="",$D172="",$E172=""),"",IF('Due List'!$B$4="Check details",IF($G172="Check details",ROW(),""),IF('Due List'!$B$4="All records",IF($G172="Check details",ROW()/100000,$F172+ROW()/100000),IF(OR($G172="Overdue",$G172="Due today",$G172="Due in next 30 days"),$F172+ROW()/100000,""))))</f>
        <v/>
      </c>
    </row>
    <row r="173" customFormat="false" ht="15" hidden="false" customHeight="false" outlineLevel="0" collapsed="false">
      <c r="A173" s="11"/>
      <c r="B173" s="11"/>
      <c r="C173" s="11"/>
      <c r="D173" s="12"/>
      <c r="E173" s="13"/>
      <c r="F173" s="14" t="str">
        <f aca="false">IF(OR(AND($A173="",$B173="",$C173="",$D173="",$E173=""),$I173&lt;&gt;""),"",EDATE($D173,$E173))</f>
        <v/>
      </c>
      <c r="G173" s="6" t="str">
        <f aca="false">IF(AND($A173="",$B173="",$C173="",$D173="",$E173=""),"",IF($I173&lt;&gt;"","Check details",IF($F173&lt;AsOf,"Overdue",IF($F173=AsOf,"Due today",IF($F173&lt;=AsOf+30,"Due in next 30 days","Later")))))</f>
        <v/>
      </c>
      <c r="H173" s="15" t="str">
        <f aca="false">IF($F173="","",$F173-AsOf)</f>
        <v/>
      </c>
      <c r="I173" s="16" t="str">
        <f aca="false">IF(AND($A173="",$B173="",$C173="",$D173="",$E173=""),"",TRIM(IF($A173="","Name missing. ","")&amp;IF($B173="","Site missing. ","")&amp;IF($D173="","Last service missing. ",IF(NOT(ISNUMBER($D173)),"Last service isn't a date. ",IF(OR($D173&lt;18264,$D173&lt;&gt;INT($D173)),"Last service isn't a valid date. ",IF($D173&gt;AsOf,"Last service is after the as-of date. ",""))))&amp;IF($E173="","Interval missing.",IF(NOT(ISNUMBER($E173)),"Interval must be a number.",IF($E173&lt;&gt;INT($E173),"Interval must be whole months.",IF(OR($E173&lt;1,$E173&gt;240),"Interval must be 1-240 months.",""))))))</f>
        <v/>
      </c>
      <c r="J173" s="17" t="str">
        <f aca="false">IF(AND($A173="",$B173="",$C173="",$D173="",$E173=""),"",IF('Due List'!$B$4="Check details",IF($G173="Check details",ROW(),""),IF('Due List'!$B$4="All records",IF($G173="Check details",ROW()/100000,$F173+ROW()/100000),IF(OR($G173="Overdue",$G173="Due today",$G173="Due in next 30 days"),$F173+ROW()/100000,""))))</f>
        <v/>
      </c>
    </row>
    <row r="174" customFormat="false" ht="15" hidden="false" customHeight="false" outlineLevel="0" collapsed="false">
      <c r="A174" s="11"/>
      <c r="B174" s="11"/>
      <c r="C174" s="11"/>
      <c r="D174" s="12"/>
      <c r="E174" s="13"/>
      <c r="F174" s="14" t="str">
        <f aca="false">IF(OR(AND($A174="",$B174="",$C174="",$D174="",$E174=""),$I174&lt;&gt;""),"",EDATE($D174,$E174))</f>
        <v/>
      </c>
      <c r="G174" s="6" t="str">
        <f aca="false">IF(AND($A174="",$B174="",$C174="",$D174="",$E174=""),"",IF($I174&lt;&gt;"","Check details",IF($F174&lt;AsOf,"Overdue",IF($F174=AsOf,"Due today",IF($F174&lt;=AsOf+30,"Due in next 30 days","Later")))))</f>
        <v/>
      </c>
      <c r="H174" s="15" t="str">
        <f aca="false">IF($F174="","",$F174-AsOf)</f>
        <v/>
      </c>
      <c r="I174" s="16" t="str">
        <f aca="false">IF(AND($A174="",$B174="",$C174="",$D174="",$E174=""),"",TRIM(IF($A174="","Name missing. ","")&amp;IF($B174="","Site missing. ","")&amp;IF($D174="","Last service missing. ",IF(NOT(ISNUMBER($D174)),"Last service isn't a date. ",IF(OR($D174&lt;18264,$D174&lt;&gt;INT($D174)),"Last service isn't a valid date. ",IF($D174&gt;AsOf,"Last service is after the as-of date. ",""))))&amp;IF($E174="","Interval missing.",IF(NOT(ISNUMBER($E174)),"Interval must be a number.",IF($E174&lt;&gt;INT($E174),"Interval must be whole months.",IF(OR($E174&lt;1,$E174&gt;240),"Interval must be 1-240 months.",""))))))</f>
        <v/>
      </c>
      <c r="J174" s="17" t="str">
        <f aca="false">IF(AND($A174="",$B174="",$C174="",$D174="",$E174=""),"",IF('Due List'!$B$4="Check details",IF($G174="Check details",ROW(),""),IF('Due List'!$B$4="All records",IF($G174="Check details",ROW()/100000,$F174+ROW()/100000),IF(OR($G174="Overdue",$G174="Due today",$G174="Due in next 30 days"),$F174+ROW()/100000,""))))</f>
        <v/>
      </c>
    </row>
    <row r="175" customFormat="false" ht="15" hidden="false" customHeight="false" outlineLevel="0" collapsed="false">
      <c r="A175" s="11"/>
      <c r="B175" s="11"/>
      <c r="C175" s="11"/>
      <c r="D175" s="12"/>
      <c r="E175" s="13"/>
      <c r="F175" s="14" t="str">
        <f aca="false">IF(OR(AND($A175="",$B175="",$C175="",$D175="",$E175=""),$I175&lt;&gt;""),"",EDATE($D175,$E175))</f>
        <v/>
      </c>
      <c r="G175" s="6" t="str">
        <f aca="false">IF(AND($A175="",$B175="",$C175="",$D175="",$E175=""),"",IF($I175&lt;&gt;"","Check details",IF($F175&lt;AsOf,"Overdue",IF($F175=AsOf,"Due today",IF($F175&lt;=AsOf+30,"Due in next 30 days","Later")))))</f>
        <v/>
      </c>
      <c r="H175" s="15" t="str">
        <f aca="false">IF($F175="","",$F175-AsOf)</f>
        <v/>
      </c>
      <c r="I175" s="16" t="str">
        <f aca="false">IF(AND($A175="",$B175="",$C175="",$D175="",$E175=""),"",TRIM(IF($A175="","Name missing. ","")&amp;IF($B175="","Site missing. ","")&amp;IF($D175="","Last service missing. ",IF(NOT(ISNUMBER($D175)),"Last service isn't a date. ",IF(OR($D175&lt;18264,$D175&lt;&gt;INT($D175)),"Last service isn't a valid date. ",IF($D175&gt;AsOf,"Last service is after the as-of date. ",""))))&amp;IF($E175="","Interval missing.",IF(NOT(ISNUMBER($E175)),"Interval must be a number.",IF($E175&lt;&gt;INT($E175),"Interval must be whole months.",IF(OR($E175&lt;1,$E175&gt;240),"Interval must be 1-240 months.",""))))))</f>
        <v/>
      </c>
      <c r="J175" s="17" t="str">
        <f aca="false">IF(AND($A175="",$B175="",$C175="",$D175="",$E175=""),"",IF('Due List'!$B$4="Check details",IF($G175="Check details",ROW(),""),IF('Due List'!$B$4="All records",IF($G175="Check details",ROW()/100000,$F175+ROW()/100000),IF(OR($G175="Overdue",$G175="Due today",$G175="Due in next 30 days"),$F175+ROW()/100000,""))))</f>
        <v/>
      </c>
    </row>
    <row r="176" customFormat="false" ht="15" hidden="false" customHeight="false" outlineLevel="0" collapsed="false">
      <c r="A176" s="11"/>
      <c r="B176" s="11"/>
      <c r="C176" s="11"/>
      <c r="D176" s="12"/>
      <c r="E176" s="13"/>
      <c r="F176" s="14" t="str">
        <f aca="false">IF(OR(AND($A176="",$B176="",$C176="",$D176="",$E176=""),$I176&lt;&gt;""),"",EDATE($D176,$E176))</f>
        <v/>
      </c>
      <c r="G176" s="6" t="str">
        <f aca="false">IF(AND($A176="",$B176="",$C176="",$D176="",$E176=""),"",IF($I176&lt;&gt;"","Check details",IF($F176&lt;AsOf,"Overdue",IF($F176=AsOf,"Due today",IF($F176&lt;=AsOf+30,"Due in next 30 days","Later")))))</f>
        <v/>
      </c>
      <c r="H176" s="15" t="str">
        <f aca="false">IF($F176="","",$F176-AsOf)</f>
        <v/>
      </c>
      <c r="I176" s="16" t="str">
        <f aca="false">IF(AND($A176="",$B176="",$C176="",$D176="",$E176=""),"",TRIM(IF($A176="","Name missing. ","")&amp;IF($B176="","Site missing. ","")&amp;IF($D176="","Last service missing. ",IF(NOT(ISNUMBER($D176)),"Last service isn't a date. ",IF(OR($D176&lt;18264,$D176&lt;&gt;INT($D176)),"Last service isn't a valid date. ",IF($D176&gt;AsOf,"Last service is after the as-of date. ",""))))&amp;IF($E176="","Interval missing.",IF(NOT(ISNUMBER($E176)),"Interval must be a number.",IF($E176&lt;&gt;INT($E176),"Interval must be whole months.",IF(OR($E176&lt;1,$E176&gt;240),"Interval must be 1-240 months.",""))))))</f>
        <v/>
      </c>
      <c r="J176" s="17" t="str">
        <f aca="false">IF(AND($A176="",$B176="",$C176="",$D176="",$E176=""),"",IF('Due List'!$B$4="Check details",IF($G176="Check details",ROW(),""),IF('Due List'!$B$4="All records",IF($G176="Check details",ROW()/100000,$F176+ROW()/100000),IF(OR($G176="Overdue",$G176="Due today",$G176="Due in next 30 days"),$F176+ROW()/100000,""))))</f>
        <v/>
      </c>
    </row>
    <row r="177" customFormat="false" ht="15" hidden="false" customHeight="false" outlineLevel="0" collapsed="false">
      <c r="A177" s="11"/>
      <c r="B177" s="11"/>
      <c r="C177" s="11"/>
      <c r="D177" s="12"/>
      <c r="E177" s="13"/>
      <c r="F177" s="14" t="str">
        <f aca="false">IF(OR(AND($A177="",$B177="",$C177="",$D177="",$E177=""),$I177&lt;&gt;""),"",EDATE($D177,$E177))</f>
        <v/>
      </c>
      <c r="G177" s="6" t="str">
        <f aca="false">IF(AND($A177="",$B177="",$C177="",$D177="",$E177=""),"",IF($I177&lt;&gt;"","Check details",IF($F177&lt;AsOf,"Overdue",IF($F177=AsOf,"Due today",IF($F177&lt;=AsOf+30,"Due in next 30 days","Later")))))</f>
        <v/>
      </c>
      <c r="H177" s="15" t="str">
        <f aca="false">IF($F177="","",$F177-AsOf)</f>
        <v/>
      </c>
      <c r="I177" s="16" t="str">
        <f aca="false">IF(AND($A177="",$B177="",$C177="",$D177="",$E177=""),"",TRIM(IF($A177="","Name missing. ","")&amp;IF($B177="","Site missing. ","")&amp;IF($D177="","Last service missing. ",IF(NOT(ISNUMBER($D177)),"Last service isn't a date. ",IF(OR($D177&lt;18264,$D177&lt;&gt;INT($D177)),"Last service isn't a valid date. ",IF($D177&gt;AsOf,"Last service is after the as-of date. ",""))))&amp;IF($E177="","Interval missing.",IF(NOT(ISNUMBER($E177)),"Interval must be a number.",IF($E177&lt;&gt;INT($E177),"Interval must be whole months.",IF(OR($E177&lt;1,$E177&gt;240),"Interval must be 1-240 months.",""))))))</f>
        <v/>
      </c>
      <c r="J177" s="17" t="str">
        <f aca="false">IF(AND($A177="",$B177="",$C177="",$D177="",$E177=""),"",IF('Due List'!$B$4="Check details",IF($G177="Check details",ROW(),""),IF('Due List'!$B$4="All records",IF($G177="Check details",ROW()/100000,$F177+ROW()/100000),IF(OR($G177="Overdue",$G177="Due today",$G177="Due in next 30 days"),$F177+ROW()/100000,""))))</f>
        <v/>
      </c>
    </row>
    <row r="178" customFormat="false" ht="15" hidden="false" customHeight="false" outlineLevel="0" collapsed="false">
      <c r="A178" s="11"/>
      <c r="B178" s="11"/>
      <c r="C178" s="11"/>
      <c r="D178" s="12"/>
      <c r="E178" s="13"/>
      <c r="F178" s="14" t="str">
        <f aca="false">IF(OR(AND($A178="",$B178="",$C178="",$D178="",$E178=""),$I178&lt;&gt;""),"",EDATE($D178,$E178))</f>
        <v/>
      </c>
      <c r="G178" s="6" t="str">
        <f aca="false">IF(AND($A178="",$B178="",$C178="",$D178="",$E178=""),"",IF($I178&lt;&gt;"","Check details",IF($F178&lt;AsOf,"Overdue",IF($F178=AsOf,"Due today",IF($F178&lt;=AsOf+30,"Due in next 30 days","Later")))))</f>
        <v/>
      </c>
      <c r="H178" s="15" t="str">
        <f aca="false">IF($F178="","",$F178-AsOf)</f>
        <v/>
      </c>
      <c r="I178" s="16" t="str">
        <f aca="false">IF(AND($A178="",$B178="",$C178="",$D178="",$E178=""),"",TRIM(IF($A178="","Name missing. ","")&amp;IF($B178="","Site missing. ","")&amp;IF($D178="","Last service missing. ",IF(NOT(ISNUMBER($D178)),"Last service isn't a date. ",IF(OR($D178&lt;18264,$D178&lt;&gt;INT($D178)),"Last service isn't a valid date. ",IF($D178&gt;AsOf,"Last service is after the as-of date. ",""))))&amp;IF($E178="","Interval missing.",IF(NOT(ISNUMBER($E178)),"Interval must be a number.",IF($E178&lt;&gt;INT($E178),"Interval must be whole months.",IF(OR($E178&lt;1,$E178&gt;240),"Interval must be 1-240 months.",""))))))</f>
        <v/>
      </c>
      <c r="J178" s="17" t="str">
        <f aca="false">IF(AND($A178="",$B178="",$C178="",$D178="",$E178=""),"",IF('Due List'!$B$4="Check details",IF($G178="Check details",ROW(),""),IF('Due List'!$B$4="All records",IF($G178="Check details",ROW()/100000,$F178+ROW()/100000),IF(OR($G178="Overdue",$G178="Due today",$G178="Due in next 30 days"),$F178+ROW()/100000,""))))</f>
        <v/>
      </c>
    </row>
    <row r="179" customFormat="false" ht="15" hidden="false" customHeight="false" outlineLevel="0" collapsed="false">
      <c r="A179" s="11"/>
      <c r="B179" s="11"/>
      <c r="C179" s="11"/>
      <c r="D179" s="12"/>
      <c r="E179" s="13"/>
      <c r="F179" s="14" t="str">
        <f aca="false">IF(OR(AND($A179="",$B179="",$C179="",$D179="",$E179=""),$I179&lt;&gt;""),"",EDATE($D179,$E179))</f>
        <v/>
      </c>
      <c r="G179" s="6" t="str">
        <f aca="false">IF(AND($A179="",$B179="",$C179="",$D179="",$E179=""),"",IF($I179&lt;&gt;"","Check details",IF($F179&lt;AsOf,"Overdue",IF($F179=AsOf,"Due today",IF($F179&lt;=AsOf+30,"Due in next 30 days","Later")))))</f>
        <v/>
      </c>
      <c r="H179" s="15" t="str">
        <f aca="false">IF($F179="","",$F179-AsOf)</f>
        <v/>
      </c>
      <c r="I179" s="16" t="str">
        <f aca="false">IF(AND($A179="",$B179="",$C179="",$D179="",$E179=""),"",TRIM(IF($A179="","Name missing. ","")&amp;IF($B179="","Site missing. ","")&amp;IF($D179="","Last service missing. ",IF(NOT(ISNUMBER($D179)),"Last service isn't a date. ",IF(OR($D179&lt;18264,$D179&lt;&gt;INT($D179)),"Last service isn't a valid date. ",IF($D179&gt;AsOf,"Last service is after the as-of date. ",""))))&amp;IF($E179="","Interval missing.",IF(NOT(ISNUMBER($E179)),"Interval must be a number.",IF($E179&lt;&gt;INT($E179),"Interval must be whole months.",IF(OR($E179&lt;1,$E179&gt;240),"Interval must be 1-240 months.",""))))))</f>
        <v/>
      </c>
      <c r="J179" s="17" t="str">
        <f aca="false">IF(AND($A179="",$B179="",$C179="",$D179="",$E179=""),"",IF('Due List'!$B$4="Check details",IF($G179="Check details",ROW(),""),IF('Due List'!$B$4="All records",IF($G179="Check details",ROW()/100000,$F179+ROW()/100000),IF(OR($G179="Overdue",$G179="Due today",$G179="Due in next 30 days"),$F179+ROW()/100000,""))))</f>
        <v/>
      </c>
    </row>
    <row r="180" customFormat="false" ht="15" hidden="false" customHeight="false" outlineLevel="0" collapsed="false">
      <c r="A180" s="11"/>
      <c r="B180" s="11"/>
      <c r="C180" s="11"/>
      <c r="D180" s="12"/>
      <c r="E180" s="13"/>
      <c r="F180" s="14" t="str">
        <f aca="false">IF(OR(AND($A180="",$B180="",$C180="",$D180="",$E180=""),$I180&lt;&gt;""),"",EDATE($D180,$E180))</f>
        <v/>
      </c>
      <c r="G180" s="6" t="str">
        <f aca="false">IF(AND($A180="",$B180="",$C180="",$D180="",$E180=""),"",IF($I180&lt;&gt;"","Check details",IF($F180&lt;AsOf,"Overdue",IF($F180=AsOf,"Due today",IF($F180&lt;=AsOf+30,"Due in next 30 days","Later")))))</f>
        <v/>
      </c>
      <c r="H180" s="15" t="str">
        <f aca="false">IF($F180="","",$F180-AsOf)</f>
        <v/>
      </c>
      <c r="I180" s="16" t="str">
        <f aca="false">IF(AND($A180="",$B180="",$C180="",$D180="",$E180=""),"",TRIM(IF($A180="","Name missing. ","")&amp;IF($B180="","Site missing. ","")&amp;IF($D180="","Last service missing. ",IF(NOT(ISNUMBER($D180)),"Last service isn't a date. ",IF(OR($D180&lt;18264,$D180&lt;&gt;INT($D180)),"Last service isn't a valid date. ",IF($D180&gt;AsOf,"Last service is after the as-of date. ",""))))&amp;IF($E180="","Interval missing.",IF(NOT(ISNUMBER($E180)),"Interval must be a number.",IF($E180&lt;&gt;INT($E180),"Interval must be whole months.",IF(OR($E180&lt;1,$E180&gt;240),"Interval must be 1-240 months.",""))))))</f>
        <v/>
      </c>
      <c r="J180" s="17" t="str">
        <f aca="false">IF(AND($A180="",$B180="",$C180="",$D180="",$E180=""),"",IF('Due List'!$B$4="Check details",IF($G180="Check details",ROW(),""),IF('Due List'!$B$4="All records",IF($G180="Check details",ROW()/100000,$F180+ROW()/100000),IF(OR($G180="Overdue",$G180="Due today",$G180="Due in next 30 days"),$F180+ROW()/100000,""))))</f>
        <v/>
      </c>
    </row>
    <row r="181" customFormat="false" ht="15" hidden="false" customHeight="false" outlineLevel="0" collapsed="false">
      <c r="A181" s="11"/>
      <c r="B181" s="11"/>
      <c r="C181" s="11"/>
      <c r="D181" s="12"/>
      <c r="E181" s="13"/>
      <c r="F181" s="14" t="str">
        <f aca="false">IF(OR(AND($A181="",$B181="",$C181="",$D181="",$E181=""),$I181&lt;&gt;""),"",EDATE($D181,$E181))</f>
        <v/>
      </c>
      <c r="G181" s="6" t="str">
        <f aca="false">IF(AND($A181="",$B181="",$C181="",$D181="",$E181=""),"",IF($I181&lt;&gt;"","Check details",IF($F181&lt;AsOf,"Overdue",IF($F181=AsOf,"Due today",IF($F181&lt;=AsOf+30,"Due in next 30 days","Later")))))</f>
        <v/>
      </c>
      <c r="H181" s="15" t="str">
        <f aca="false">IF($F181="","",$F181-AsOf)</f>
        <v/>
      </c>
      <c r="I181" s="16" t="str">
        <f aca="false">IF(AND($A181="",$B181="",$C181="",$D181="",$E181=""),"",TRIM(IF($A181="","Name missing. ","")&amp;IF($B181="","Site missing. ","")&amp;IF($D181="","Last service missing. ",IF(NOT(ISNUMBER($D181)),"Last service isn't a date. ",IF(OR($D181&lt;18264,$D181&lt;&gt;INT($D181)),"Last service isn't a valid date. ",IF($D181&gt;AsOf,"Last service is after the as-of date. ",""))))&amp;IF($E181="","Interval missing.",IF(NOT(ISNUMBER($E181)),"Interval must be a number.",IF($E181&lt;&gt;INT($E181),"Interval must be whole months.",IF(OR($E181&lt;1,$E181&gt;240),"Interval must be 1-240 months.",""))))))</f>
        <v/>
      </c>
      <c r="J181" s="17" t="str">
        <f aca="false">IF(AND($A181="",$B181="",$C181="",$D181="",$E181=""),"",IF('Due List'!$B$4="Check details",IF($G181="Check details",ROW(),""),IF('Due List'!$B$4="All records",IF($G181="Check details",ROW()/100000,$F181+ROW()/100000),IF(OR($G181="Overdue",$G181="Due today",$G181="Due in next 30 days"),$F181+ROW()/100000,""))))</f>
        <v/>
      </c>
    </row>
    <row r="182" customFormat="false" ht="15" hidden="false" customHeight="false" outlineLevel="0" collapsed="false">
      <c r="A182" s="11"/>
      <c r="B182" s="11"/>
      <c r="C182" s="11"/>
      <c r="D182" s="12"/>
      <c r="E182" s="13"/>
      <c r="F182" s="14" t="str">
        <f aca="false">IF(OR(AND($A182="",$B182="",$C182="",$D182="",$E182=""),$I182&lt;&gt;""),"",EDATE($D182,$E182))</f>
        <v/>
      </c>
      <c r="G182" s="6" t="str">
        <f aca="false">IF(AND($A182="",$B182="",$C182="",$D182="",$E182=""),"",IF($I182&lt;&gt;"","Check details",IF($F182&lt;AsOf,"Overdue",IF($F182=AsOf,"Due today",IF($F182&lt;=AsOf+30,"Due in next 30 days","Later")))))</f>
        <v/>
      </c>
      <c r="H182" s="15" t="str">
        <f aca="false">IF($F182="","",$F182-AsOf)</f>
        <v/>
      </c>
      <c r="I182" s="16" t="str">
        <f aca="false">IF(AND($A182="",$B182="",$C182="",$D182="",$E182=""),"",TRIM(IF($A182="","Name missing. ","")&amp;IF($B182="","Site missing. ","")&amp;IF($D182="","Last service missing. ",IF(NOT(ISNUMBER($D182)),"Last service isn't a date. ",IF(OR($D182&lt;18264,$D182&lt;&gt;INT($D182)),"Last service isn't a valid date. ",IF($D182&gt;AsOf,"Last service is after the as-of date. ",""))))&amp;IF($E182="","Interval missing.",IF(NOT(ISNUMBER($E182)),"Interval must be a number.",IF($E182&lt;&gt;INT($E182),"Interval must be whole months.",IF(OR($E182&lt;1,$E182&gt;240),"Interval must be 1-240 months.",""))))))</f>
        <v/>
      </c>
      <c r="J182" s="17" t="str">
        <f aca="false">IF(AND($A182="",$B182="",$C182="",$D182="",$E182=""),"",IF('Due List'!$B$4="Check details",IF($G182="Check details",ROW(),""),IF('Due List'!$B$4="All records",IF($G182="Check details",ROW()/100000,$F182+ROW()/100000),IF(OR($G182="Overdue",$G182="Due today",$G182="Due in next 30 days"),$F182+ROW()/100000,""))))</f>
        <v/>
      </c>
    </row>
    <row r="183" customFormat="false" ht="15" hidden="false" customHeight="false" outlineLevel="0" collapsed="false">
      <c r="A183" s="11"/>
      <c r="B183" s="11"/>
      <c r="C183" s="11"/>
      <c r="D183" s="12"/>
      <c r="E183" s="13"/>
      <c r="F183" s="14" t="str">
        <f aca="false">IF(OR(AND($A183="",$B183="",$C183="",$D183="",$E183=""),$I183&lt;&gt;""),"",EDATE($D183,$E183))</f>
        <v/>
      </c>
      <c r="G183" s="6" t="str">
        <f aca="false">IF(AND($A183="",$B183="",$C183="",$D183="",$E183=""),"",IF($I183&lt;&gt;"","Check details",IF($F183&lt;AsOf,"Overdue",IF($F183=AsOf,"Due today",IF($F183&lt;=AsOf+30,"Due in next 30 days","Later")))))</f>
        <v/>
      </c>
      <c r="H183" s="15" t="str">
        <f aca="false">IF($F183="","",$F183-AsOf)</f>
        <v/>
      </c>
      <c r="I183" s="16" t="str">
        <f aca="false">IF(AND($A183="",$B183="",$C183="",$D183="",$E183=""),"",TRIM(IF($A183="","Name missing. ","")&amp;IF($B183="","Site missing. ","")&amp;IF($D183="","Last service missing. ",IF(NOT(ISNUMBER($D183)),"Last service isn't a date. ",IF(OR($D183&lt;18264,$D183&lt;&gt;INT($D183)),"Last service isn't a valid date. ",IF($D183&gt;AsOf,"Last service is after the as-of date. ",""))))&amp;IF($E183="","Interval missing.",IF(NOT(ISNUMBER($E183)),"Interval must be a number.",IF($E183&lt;&gt;INT($E183),"Interval must be whole months.",IF(OR($E183&lt;1,$E183&gt;240),"Interval must be 1-240 months.",""))))))</f>
        <v/>
      </c>
      <c r="J183" s="17" t="str">
        <f aca="false">IF(AND($A183="",$B183="",$C183="",$D183="",$E183=""),"",IF('Due List'!$B$4="Check details",IF($G183="Check details",ROW(),""),IF('Due List'!$B$4="All records",IF($G183="Check details",ROW()/100000,$F183+ROW()/100000),IF(OR($G183="Overdue",$G183="Due today",$G183="Due in next 30 days"),$F183+ROW()/100000,""))))</f>
        <v/>
      </c>
    </row>
    <row r="184" customFormat="false" ht="15" hidden="false" customHeight="false" outlineLevel="0" collapsed="false">
      <c r="A184" s="11"/>
      <c r="B184" s="11"/>
      <c r="C184" s="11"/>
      <c r="D184" s="12"/>
      <c r="E184" s="13"/>
      <c r="F184" s="14" t="str">
        <f aca="false">IF(OR(AND($A184="",$B184="",$C184="",$D184="",$E184=""),$I184&lt;&gt;""),"",EDATE($D184,$E184))</f>
        <v/>
      </c>
      <c r="G184" s="6" t="str">
        <f aca="false">IF(AND($A184="",$B184="",$C184="",$D184="",$E184=""),"",IF($I184&lt;&gt;"","Check details",IF($F184&lt;AsOf,"Overdue",IF($F184=AsOf,"Due today",IF($F184&lt;=AsOf+30,"Due in next 30 days","Later")))))</f>
        <v/>
      </c>
      <c r="H184" s="15" t="str">
        <f aca="false">IF($F184="","",$F184-AsOf)</f>
        <v/>
      </c>
      <c r="I184" s="16" t="str">
        <f aca="false">IF(AND($A184="",$B184="",$C184="",$D184="",$E184=""),"",TRIM(IF($A184="","Name missing. ","")&amp;IF($B184="","Site missing. ","")&amp;IF($D184="","Last service missing. ",IF(NOT(ISNUMBER($D184)),"Last service isn't a date. ",IF(OR($D184&lt;18264,$D184&lt;&gt;INT($D184)),"Last service isn't a valid date. ",IF($D184&gt;AsOf,"Last service is after the as-of date. ",""))))&amp;IF($E184="","Interval missing.",IF(NOT(ISNUMBER($E184)),"Interval must be a number.",IF($E184&lt;&gt;INT($E184),"Interval must be whole months.",IF(OR($E184&lt;1,$E184&gt;240),"Interval must be 1-240 months.",""))))))</f>
        <v/>
      </c>
      <c r="J184" s="17" t="str">
        <f aca="false">IF(AND($A184="",$B184="",$C184="",$D184="",$E184=""),"",IF('Due List'!$B$4="Check details",IF($G184="Check details",ROW(),""),IF('Due List'!$B$4="All records",IF($G184="Check details",ROW()/100000,$F184+ROW()/100000),IF(OR($G184="Overdue",$G184="Due today",$G184="Due in next 30 days"),$F184+ROW()/100000,""))))</f>
        <v/>
      </c>
    </row>
    <row r="185" customFormat="false" ht="15" hidden="false" customHeight="false" outlineLevel="0" collapsed="false">
      <c r="A185" s="11"/>
      <c r="B185" s="11"/>
      <c r="C185" s="11"/>
      <c r="D185" s="12"/>
      <c r="E185" s="13"/>
      <c r="F185" s="14" t="str">
        <f aca="false">IF(OR(AND($A185="",$B185="",$C185="",$D185="",$E185=""),$I185&lt;&gt;""),"",EDATE($D185,$E185))</f>
        <v/>
      </c>
      <c r="G185" s="6" t="str">
        <f aca="false">IF(AND($A185="",$B185="",$C185="",$D185="",$E185=""),"",IF($I185&lt;&gt;"","Check details",IF($F185&lt;AsOf,"Overdue",IF($F185=AsOf,"Due today",IF($F185&lt;=AsOf+30,"Due in next 30 days","Later")))))</f>
        <v/>
      </c>
      <c r="H185" s="15" t="str">
        <f aca="false">IF($F185="","",$F185-AsOf)</f>
        <v/>
      </c>
      <c r="I185" s="16" t="str">
        <f aca="false">IF(AND($A185="",$B185="",$C185="",$D185="",$E185=""),"",TRIM(IF($A185="","Name missing. ","")&amp;IF($B185="","Site missing. ","")&amp;IF($D185="","Last service missing. ",IF(NOT(ISNUMBER($D185)),"Last service isn't a date. ",IF(OR($D185&lt;18264,$D185&lt;&gt;INT($D185)),"Last service isn't a valid date. ",IF($D185&gt;AsOf,"Last service is after the as-of date. ",""))))&amp;IF($E185="","Interval missing.",IF(NOT(ISNUMBER($E185)),"Interval must be a number.",IF($E185&lt;&gt;INT($E185),"Interval must be whole months.",IF(OR($E185&lt;1,$E185&gt;240),"Interval must be 1-240 months.",""))))))</f>
        <v/>
      </c>
      <c r="J185" s="17" t="str">
        <f aca="false">IF(AND($A185="",$B185="",$C185="",$D185="",$E185=""),"",IF('Due List'!$B$4="Check details",IF($G185="Check details",ROW(),""),IF('Due List'!$B$4="All records",IF($G185="Check details",ROW()/100000,$F185+ROW()/100000),IF(OR($G185="Overdue",$G185="Due today",$G185="Due in next 30 days"),$F185+ROW()/100000,""))))</f>
        <v/>
      </c>
    </row>
    <row r="186" customFormat="false" ht="15" hidden="false" customHeight="false" outlineLevel="0" collapsed="false">
      <c r="A186" s="11"/>
      <c r="B186" s="11"/>
      <c r="C186" s="11"/>
      <c r="D186" s="12"/>
      <c r="E186" s="13"/>
      <c r="F186" s="14" t="str">
        <f aca="false">IF(OR(AND($A186="",$B186="",$C186="",$D186="",$E186=""),$I186&lt;&gt;""),"",EDATE($D186,$E186))</f>
        <v/>
      </c>
      <c r="G186" s="6" t="str">
        <f aca="false">IF(AND($A186="",$B186="",$C186="",$D186="",$E186=""),"",IF($I186&lt;&gt;"","Check details",IF($F186&lt;AsOf,"Overdue",IF($F186=AsOf,"Due today",IF($F186&lt;=AsOf+30,"Due in next 30 days","Later")))))</f>
        <v/>
      </c>
      <c r="H186" s="15" t="str">
        <f aca="false">IF($F186="","",$F186-AsOf)</f>
        <v/>
      </c>
      <c r="I186" s="16" t="str">
        <f aca="false">IF(AND($A186="",$B186="",$C186="",$D186="",$E186=""),"",TRIM(IF($A186="","Name missing. ","")&amp;IF($B186="","Site missing. ","")&amp;IF($D186="","Last service missing. ",IF(NOT(ISNUMBER($D186)),"Last service isn't a date. ",IF(OR($D186&lt;18264,$D186&lt;&gt;INT($D186)),"Last service isn't a valid date. ",IF($D186&gt;AsOf,"Last service is after the as-of date. ",""))))&amp;IF($E186="","Interval missing.",IF(NOT(ISNUMBER($E186)),"Interval must be a number.",IF($E186&lt;&gt;INT($E186),"Interval must be whole months.",IF(OR($E186&lt;1,$E186&gt;240),"Interval must be 1-240 months.",""))))))</f>
        <v/>
      </c>
      <c r="J186" s="17" t="str">
        <f aca="false">IF(AND($A186="",$B186="",$C186="",$D186="",$E186=""),"",IF('Due List'!$B$4="Check details",IF($G186="Check details",ROW(),""),IF('Due List'!$B$4="All records",IF($G186="Check details",ROW()/100000,$F186+ROW()/100000),IF(OR($G186="Overdue",$G186="Due today",$G186="Due in next 30 days"),$F186+ROW()/100000,""))))</f>
        <v/>
      </c>
    </row>
    <row r="187" customFormat="false" ht="15" hidden="false" customHeight="false" outlineLevel="0" collapsed="false">
      <c r="A187" s="11"/>
      <c r="B187" s="11"/>
      <c r="C187" s="11"/>
      <c r="D187" s="12"/>
      <c r="E187" s="13"/>
      <c r="F187" s="14" t="str">
        <f aca="false">IF(OR(AND($A187="",$B187="",$C187="",$D187="",$E187=""),$I187&lt;&gt;""),"",EDATE($D187,$E187))</f>
        <v/>
      </c>
      <c r="G187" s="6" t="str">
        <f aca="false">IF(AND($A187="",$B187="",$C187="",$D187="",$E187=""),"",IF($I187&lt;&gt;"","Check details",IF($F187&lt;AsOf,"Overdue",IF($F187=AsOf,"Due today",IF($F187&lt;=AsOf+30,"Due in next 30 days","Later")))))</f>
        <v/>
      </c>
      <c r="H187" s="15" t="str">
        <f aca="false">IF($F187="","",$F187-AsOf)</f>
        <v/>
      </c>
      <c r="I187" s="16" t="str">
        <f aca="false">IF(AND($A187="",$B187="",$C187="",$D187="",$E187=""),"",TRIM(IF($A187="","Name missing. ","")&amp;IF($B187="","Site missing. ","")&amp;IF($D187="","Last service missing. ",IF(NOT(ISNUMBER($D187)),"Last service isn't a date. ",IF(OR($D187&lt;18264,$D187&lt;&gt;INT($D187)),"Last service isn't a valid date. ",IF($D187&gt;AsOf,"Last service is after the as-of date. ",""))))&amp;IF($E187="","Interval missing.",IF(NOT(ISNUMBER($E187)),"Interval must be a number.",IF($E187&lt;&gt;INT($E187),"Interval must be whole months.",IF(OR($E187&lt;1,$E187&gt;240),"Interval must be 1-240 months.",""))))))</f>
        <v/>
      </c>
      <c r="J187" s="17" t="str">
        <f aca="false">IF(AND($A187="",$B187="",$C187="",$D187="",$E187=""),"",IF('Due List'!$B$4="Check details",IF($G187="Check details",ROW(),""),IF('Due List'!$B$4="All records",IF($G187="Check details",ROW()/100000,$F187+ROW()/100000),IF(OR($G187="Overdue",$G187="Due today",$G187="Due in next 30 days"),$F187+ROW()/100000,""))))</f>
        <v/>
      </c>
    </row>
    <row r="188" customFormat="false" ht="15" hidden="false" customHeight="false" outlineLevel="0" collapsed="false">
      <c r="A188" s="11"/>
      <c r="B188" s="11"/>
      <c r="C188" s="11"/>
      <c r="D188" s="12"/>
      <c r="E188" s="13"/>
      <c r="F188" s="14" t="str">
        <f aca="false">IF(OR(AND($A188="",$B188="",$C188="",$D188="",$E188=""),$I188&lt;&gt;""),"",EDATE($D188,$E188))</f>
        <v/>
      </c>
      <c r="G188" s="6" t="str">
        <f aca="false">IF(AND($A188="",$B188="",$C188="",$D188="",$E188=""),"",IF($I188&lt;&gt;"","Check details",IF($F188&lt;AsOf,"Overdue",IF($F188=AsOf,"Due today",IF($F188&lt;=AsOf+30,"Due in next 30 days","Later")))))</f>
        <v/>
      </c>
      <c r="H188" s="15" t="str">
        <f aca="false">IF($F188="","",$F188-AsOf)</f>
        <v/>
      </c>
      <c r="I188" s="16" t="str">
        <f aca="false">IF(AND($A188="",$B188="",$C188="",$D188="",$E188=""),"",TRIM(IF($A188="","Name missing. ","")&amp;IF($B188="","Site missing. ","")&amp;IF($D188="","Last service missing. ",IF(NOT(ISNUMBER($D188)),"Last service isn't a date. ",IF(OR($D188&lt;18264,$D188&lt;&gt;INT($D188)),"Last service isn't a valid date. ",IF($D188&gt;AsOf,"Last service is after the as-of date. ",""))))&amp;IF($E188="","Interval missing.",IF(NOT(ISNUMBER($E188)),"Interval must be a number.",IF($E188&lt;&gt;INT($E188),"Interval must be whole months.",IF(OR($E188&lt;1,$E188&gt;240),"Interval must be 1-240 months.",""))))))</f>
        <v/>
      </c>
      <c r="J188" s="17" t="str">
        <f aca="false">IF(AND($A188="",$B188="",$C188="",$D188="",$E188=""),"",IF('Due List'!$B$4="Check details",IF($G188="Check details",ROW(),""),IF('Due List'!$B$4="All records",IF($G188="Check details",ROW()/100000,$F188+ROW()/100000),IF(OR($G188="Overdue",$G188="Due today",$G188="Due in next 30 days"),$F188+ROW()/100000,""))))</f>
        <v/>
      </c>
    </row>
    <row r="189" customFormat="false" ht="15" hidden="false" customHeight="false" outlineLevel="0" collapsed="false">
      <c r="A189" s="11"/>
      <c r="B189" s="11"/>
      <c r="C189" s="11"/>
      <c r="D189" s="12"/>
      <c r="E189" s="13"/>
      <c r="F189" s="14" t="str">
        <f aca="false">IF(OR(AND($A189="",$B189="",$C189="",$D189="",$E189=""),$I189&lt;&gt;""),"",EDATE($D189,$E189))</f>
        <v/>
      </c>
      <c r="G189" s="6" t="str">
        <f aca="false">IF(AND($A189="",$B189="",$C189="",$D189="",$E189=""),"",IF($I189&lt;&gt;"","Check details",IF($F189&lt;AsOf,"Overdue",IF($F189=AsOf,"Due today",IF($F189&lt;=AsOf+30,"Due in next 30 days","Later")))))</f>
        <v/>
      </c>
      <c r="H189" s="15" t="str">
        <f aca="false">IF($F189="","",$F189-AsOf)</f>
        <v/>
      </c>
      <c r="I189" s="16" t="str">
        <f aca="false">IF(AND($A189="",$B189="",$C189="",$D189="",$E189=""),"",TRIM(IF($A189="","Name missing. ","")&amp;IF($B189="","Site missing. ","")&amp;IF($D189="","Last service missing. ",IF(NOT(ISNUMBER($D189)),"Last service isn't a date. ",IF(OR($D189&lt;18264,$D189&lt;&gt;INT($D189)),"Last service isn't a valid date. ",IF($D189&gt;AsOf,"Last service is after the as-of date. ",""))))&amp;IF($E189="","Interval missing.",IF(NOT(ISNUMBER($E189)),"Interval must be a number.",IF($E189&lt;&gt;INT($E189),"Interval must be whole months.",IF(OR($E189&lt;1,$E189&gt;240),"Interval must be 1-240 months.",""))))))</f>
        <v/>
      </c>
      <c r="J189" s="17" t="str">
        <f aca="false">IF(AND($A189="",$B189="",$C189="",$D189="",$E189=""),"",IF('Due List'!$B$4="Check details",IF($G189="Check details",ROW(),""),IF('Due List'!$B$4="All records",IF($G189="Check details",ROW()/100000,$F189+ROW()/100000),IF(OR($G189="Overdue",$G189="Due today",$G189="Due in next 30 days"),$F189+ROW()/100000,""))))</f>
        <v/>
      </c>
    </row>
    <row r="190" customFormat="false" ht="15" hidden="false" customHeight="false" outlineLevel="0" collapsed="false">
      <c r="A190" s="11"/>
      <c r="B190" s="11"/>
      <c r="C190" s="11"/>
      <c r="D190" s="12"/>
      <c r="E190" s="13"/>
      <c r="F190" s="14" t="str">
        <f aca="false">IF(OR(AND($A190="",$B190="",$C190="",$D190="",$E190=""),$I190&lt;&gt;""),"",EDATE($D190,$E190))</f>
        <v/>
      </c>
      <c r="G190" s="6" t="str">
        <f aca="false">IF(AND($A190="",$B190="",$C190="",$D190="",$E190=""),"",IF($I190&lt;&gt;"","Check details",IF($F190&lt;AsOf,"Overdue",IF($F190=AsOf,"Due today",IF($F190&lt;=AsOf+30,"Due in next 30 days","Later")))))</f>
        <v/>
      </c>
      <c r="H190" s="15" t="str">
        <f aca="false">IF($F190="","",$F190-AsOf)</f>
        <v/>
      </c>
      <c r="I190" s="16" t="str">
        <f aca="false">IF(AND($A190="",$B190="",$C190="",$D190="",$E190=""),"",TRIM(IF($A190="","Name missing. ","")&amp;IF($B190="","Site missing. ","")&amp;IF($D190="","Last service missing. ",IF(NOT(ISNUMBER($D190)),"Last service isn't a date. ",IF(OR($D190&lt;18264,$D190&lt;&gt;INT($D190)),"Last service isn't a valid date. ",IF($D190&gt;AsOf,"Last service is after the as-of date. ",""))))&amp;IF($E190="","Interval missing.",IF(NOT(ISNUMBER($E190)),"Interval must be a number.",IF($E190&lt;&gt;INT($E190),"Interval must be whole months.",IF(OR($E190&lt;1,$E190&gt;240),"Interval must be 1-240 months.",""))))))</f>
        <v/>
      </c>
      <c r="J190" s="17" t="str">
        <f aca="false">IF(AND($A190="",$B190="",$C190="",$D190="",$E190=""),"",IF('Due List'!$B$4="Check details",IF($G190="Check details",ROW(),""),IF('Due List'!$B$4="All records",IF($G190="Check details",ROW()/100000,$F190+ROW()/100000),IF(OR($G190="Overdue",$G190="Due today",$G190="Due in next 30 days"),$F190+ROW()/100000,""))))</f>
        <v/>
      </c>
    </row>
    <row r="191" customFormat="false" ht="15" hidden="false" customHeight="false" outlineLevel="0" collapsed="false">
      <c r="A191" s="11"/>
      <c r="B191" s="11"/>
      <c r="C191" s="11"/>
      <c r="D191" s="12"/>
      <c r="E191" s="13"/>
      <c r="F191" s="14" t="str">
        <f aca="false">IF(OR(AND($A191="",$B191="",$C191="",$D191="",$E191=""),$I191&lt;&gt;""),"",EDATE($D191,$E191))</f>
        <v/>
      </c>
      <c r="G191" s="6" t="str">
        <f aca="false">IF(AND($A191="",$B191="",$C191="",$D191="",$E191=""),"",IF($I191&lt;&gt;"","Check details",IF($F191&lt;AsOf,"Overdue",IF($F191=AsOf,"Due today",IF($F191&lt;=AsOf+30,"Due in next 30 days","Later")))))</f>
        <v/>
      </c>
      <c r="H191" s="15" t="str">
        <f aca="false">IF($F191="","",$F191-AsOf)</f>
        <v/>
      </c>
      <c r="I191" s="16" t="str">
        <f aca="false">IF(AND($A191="",$B191="",$C191="",$D191="",$E191=""),"",TRIM(IF($A191="","Name missing. ","")&amp;IF($B191="","Site missing. ","")&amp;IF($D191="","Last service missing. ",IF(NOT(ISNUMBER($D191)),"Last service isn't a date. ",IF(OR($D191&lt;18264,$D191&lt;&gt;INT($D191)),"Last service isn't a valid date. ",IF($D191&gt;AsOf,"Last service is after the as-of date. ",""))))&amp;IF($E191="","Interval missing.",IF(NOT(ISNUMBER($E191)),"Interval must be a number.",IF($E191&lt;&gt;INT($E191),"Interval must be whole months.",IF(OR($E191&lt;1,$E191&gt;240),"Interval must be 1-240 months.",""))))))</f>
        <v/>
      </c>
      <c r="J191" s="17" t="str">
        <f aca="false">IF(AND($A191="",$B191="",$C191="",$D191="",$E191=""),"",IF('Due List'!$B$4="Check details",IF($G191="Check details",ROW(),""),IF('Due List'!$B$4="All records",IF($G191="Check details",ROW()/100000,$F191+ROW()/100000),IF(OR($G191="Overdue",$G191="Due today",$G191="Due in next 30 days"),$F191+ROW()/100000,""))))</f>
        <v/>
      </c>
    </row>
    <row r="192" customFormat="false" ht="15" hidden="false" customHeight="false" outlineLevel="0" collapsed="false">
      <c r="A192" s="11"/>
      <c r="B192" s="11"/>
      <c r="C192" s="11"/>
      <c r="D192" s="12"/>
      <c r="E192" s="13"/>
      <c r="F192" s="14" t="str">
        <f aca="false">IF(OR(AND($A192="",$B192="",$C192="",$D192="",$E192=""),$I192&lt;&gt;""),"",EDATE($D192,$E192))</f>
        <v/>
      </c>
      <c r="G192" s="6" t="str">
        <f aca="false">IF(AND($A192="",$B192="",$C192="",$D192="",$E192=""),"",IF($I192&lt;&gt;"","Check details",IF($F192&lt;AsOf,"Overdue",IF($F192=AsOf,"Due today",IF($F192&lt;=AsOf+30,"Due in next 30 days","Later")))))</f>
        <v/>
      </c>
      <c r="H192" s="15" t="str">
        <f aca="false">IF($F192="","",$F192-AsOf)</f>
        <v/>
      </c>
      <c r="I192" s="16" t="str">
        <f aca="false">IF(AND($A192="",$B192="",$C192="",$D192="",$E192=""),"",TRIM(IF($A192="","Name missing. ","")&amp;IF($B192="","Site missing. ","")&amp;IF($D192="","Last service missing. ",IF(NOT(ISNUMBER($D192)),"Last service isn't a date. ",IF(OR($D192&lt;18264,$D192&lt;&gt;INT($D192)),"Last service isn't a valid date. ",IF($D192&gt;AsOf,"Last service is after the as-of date. ",""))))&amp;IF($E192="","Interval missing.",IF(NOT(ISNUMBER($E192)),"Interval must be a number.",IF($E192&lt;&gt;INT($E192),"Interval must be whole months.",IF(OR($E192&lt;1,$E192&gt;240),"Interval must be 1-240 months.",""))))))</f>
        <v/>
      </c>
      <c r="J192" s="17" t="str">
        <f aca="false">IF(AND($A192="",$B192="",$C192="",$D192="",$E192=""),"",IF('Due List'!$B$4="Check details",IF($G192="Check details",ROW(),""),IF('Due List'!$B$4="All records",IF($G192="Check details",ROW()/100000,$F192+ROW()/100000),IF(OR($G192="Overdue",$G192="Due today",$G192="Due in next 30 days"),$F192+ROW()/100000,""))))</f>
        <v/>
      </c>
    </row>
    <row r="193" customFormat="false" ht="15" hidden="false" customHeight="false" outlineLevel="0" collapsed="false">
      <c r="A193" s="11"/>
      <c r="B193" s="11"/>
      <c r="C193" s="11"/>
      <c r="D193" s="12"/>
      <c r="E193" s="13"/>
      <c r="F193" s="14" t="str">
        <f aca="false">IF(OR(AND($A193="",$B193="",$C193="",$D193="",$E193=""),$I193&lt;&gt;""),"",EDATE($D193,$E193))</f>
        <v/>
      </c>
      <c r="G193" s="6" t="str">
        <f aca="false">IF(AND($A193="",$B193="",$C193="",$D193="",$E193=""),"",IF($I193&lt;&gt;"","Check details",IF($F193&lt;AsOf,"Overdue",IF($F193=AsOf,"Due today",IF($F193&lt;=AsOf+30,"Due in next 30 days","Later")))))</f>
        <v/>
      </c>
      <c r="H193" s="15" t="str">
        <f aca="false">IF($F193="","",$F193-AsOf)</f>
        <v/>
      </c>
      <c r="I193" s="16" t="str">
        <f aca="false">IF(AND($A193="",$B193="",$C193="",$D193="",$E193=""),"",TRIM(IF($A193="","Name missing. ","")&amp;IF($B193="","Site missing. ","")&amp;IF($D193="","Last service missing. ",IF(NOT(ISNUMBER($D193)),"Last service isn't a date. ",IF(OR($D193&lt;18264,$D193&lt;&gt;INT($D193)),"Last service isn't a valid date. ",IF($D193&gt;AsOf,"Last service is after the as-of date. ",""))))&amp;IF($E193="","Interval missing.",IF(NOT(ISNUMBER($E193)),"Interval must be a number.",IF($E193&lt;&gt;INT($E193),"Interval must be whole months.",IF(OR($E193&lt;1,$E193&gt;240),"Interval must be 1-240 months.",""))))))</f>
        <v/>
      </c>
      <c r="J193" s="17" t="str">
        <f aca="false">IF(AND($A193="",$B193="",$C193="",$D193="",$E193=""),"",IF('Due List'!$B$4="Check details",IF($G193="Check details",ROW(),""),IF('Due List'!$B$4="All records",IF($G193="Check details",ROW()/100000,$F193+ROW()/100000),IF(OR($G193="Overdue",$G193="Due today",$G193="Due in next 30 days"),$F193+ROW()/100000,""))))</f>
        <v/>
      </c>
    </row>
    <row r="194" customFormat="false" ht="15" hidden="false" customHeight="false" outlineLevel="0" collapsed="false">
      <c r="A194" s="11"/>
      <c r="B194" s="11"/>
      <c r="C194" s="11"/>
      <c r="D194" s="12"/>
      <c r="E194" s="13"/>
      <c r="F194" s="14" t="str">
        <f aca="false">IF(OR(AND($A194="",$B194="",$C194="",$D194="",$E194=""),$I194&lt;&gt;""),"",EDATE($D194,$E194))</f>
        <v/>
      </c>
      <c r="G194" s="6" t="str">
        <f aca="false">IF(AND($A194="",$B194="",$C194="",$D194="",$E194=""),"",IF($I194&lt;&gt;"","Check details",IF($F194&lt;AsOf,"Overdue",IF($F194=AsOf,"Due today",IF($F194&lt;=AsOf+30,"Due in next 30 days","Later")))))</f>
        <v/>
      </c>
      <c r="H194" s="15" t="str">
        <f aca="false">IF($F194="","",$F194-AsOf)</f>
        <v/>
      </c>
      <c r="I194" s="16" t="str">
        <f aca="false">IF(AND($A194="",$B194="",$C194="",$D194="",$E194=""),"",TRIM(IF($A194="","Name missing. ","")&amp;IF($B194="","Site missing. ","")&amp;IF($D194="","Last service missing. ",IF(NOT(ISNUMBER($D194)),"Last service isn't a date. ",IF(OR($D194&lt;18264,$D194&lt;&gt;INT($D194)),"Last service isn't a valid date. ",IF($D194&gt;AsOf,"Last service is after the as-of date. ",""))))&amp;IF($E194="","Interval missing.",IF(NOT(ISNUMBER($E194)),"Interval must be a number.",IF($E194&lt;&gt;INT($E194),"Interval must be whole months.",IF(OR($E194&lt;1,$E194&gt;240),"Interval must be 1-240 months.",""))))))</f>
        <v/>
      </c>
      <c r="J194" s="17" t="str">
        <f aca="false">IF(AND($A194="",$B194="",$C194="",$D194="",$E194=""),"",IF('Due List'!$B$4="Check details",IF($G194="Check details",ROW(),""),IF('Due List'!$B$4="All records",IF($G194="Check details",ROW()/100000,$F194+ROW()/100000),IF(OR($G194="Overdue",$G194="Due today",$G194="Due in next 30 days"),$F194+ROW()/100000,""))))</f>
        <v/>
      </c>
    </row>
    <row r="195" customFormat="false" ht="15" hidden="false" customHeight="false" outlineLevel="0" collapsed="false">
      <c r="A195" s="11"/>
      <c r="B195" s="11"/>
      <c r="C195" s="11"/>
      <c r="D195" s="12"/>
      <c r="E195" s="13"/>
      <c r="F195" s="14" t="str">
        <f aca="false">IF(OR(AND($A195="",$B195="",$C195="",$D195="",$E195=""),$I195&lt;&gt;""),"",EDATE($D195,$E195))</f>
        <v/>
      </c>
      <c r="G195" s="6" t="str">
        <f aca="false">IF(AND($A195="",$B195="",$C195="",$D195="",$E195=""),"",IF($I195&lt;&gt;"","Check details",IF($F195&lt;AsOf,"Overdue",IF($F195=AsOf,"Due today",IF($F195&lt;=AsOf+30,"Due in next 30 days","Later")))))</f>
        <v/>
      </c>
      <c r="H195" s="15" t="str">
        <f aca="false">IF($F195="","",$F195-AsOf)</f>
        <v/>
      </c>
      <c r="I195" s="16" t="str">
        <f aca="false">IF(AND($A195="",$B195="",$C195="",$D195="",$E195=""),"",TRIM(IF($A195="","Name missing. ","")&amp;IF($B195="","Site missing. ","")&amp;IF($D195="","Last service missing. ",IF(NOT(ISNUMBER($D195)),"Last service isn't a date. ",IF(OR($D195&lt;18264,$D195&lt;&gt;INT($D195)),"Last service isn't a valid date. ",IF($D195&gt;AsOf,"Last service is after the as-of date. ",""))))&amp;IF($E195="","Interval missing.",IF(NOT(ISNUMBER($E195)),"Interval must be a number.",IF($E195&lt;&gt;INT($E195),"Interval must be whole months.",IF(OR($E195&lt;1,$E195&gt;240),"Interval must be 1-240 months.",""))))))</f>
        <v/>
      </c>
      <c r="J195" s="17" t="str">
        <f aca="false">IF(AND($A195="",$B195="",$C195="",$D195="",$E195=""),"",IF('Due List'!$B$4="Check details",IF($G195="Check details",ROW(),""),IF('Due List'!$B$4="All records",IF($G195="Check details",ROW()/100000,$F195+ROW()/100000),IF(OR($G195="Overdue",$G195="Due today",$G195="Due in next 30 days"),$F195+ROW()/100000,""))))</f>
        <v/>
      </c>
    </row>
    <row r="196" customFormat="false" ht="15" hidden="false" customHeight="false" outlineLevel="0" collapsed="false">
      <c r="A196" s="11"/>
      <c r="B196" s="11"/>
      <c r="C196" s="11"/>
      <c r="D196" s="12"/>
      <c r="E196" s="13"/>
      <c r="F196" s="14" t="str">
        <f aca="false">IF(OR(AND($A196="",$B196="",$C196="",$D196="",$E196=""),$I196&lt;&gt;""),"",EDATE($D196,$E196))</f>
        <v/>
      </c>
      <c r="G196" s="6" t="str">
        <f aca="false">IF(AND($A196="",$B196="",$C196="",$D196="",$E196=""),"",IF($I196&lt;&gt;"","Check details",IF($F196&lt;AsOf,"Overdue",IF($F196=AsOf,"Due today",IF($F196&lt;=AsOf+30,"Due in next 30 days","Later")))))</f>
        <v/>
      </c>
      <c r="H196" s="15" t="str">
        <f aca="false">IF($F196="","",$F196-AsOf)</f>
        <v/>
      </c>
      <c r="I196" s="16" t="str">
        <f aca="false">IF(AND($A196="",$B196="",$C196="",$D196="",$E196=""),"",TRIM(IF($A196="","Name missing. ","")&amp;IF($B196="","Site missing. ","")&amp;IF($D196="","Last service missing. ",IF(NOT(ISNUMBER($D196)),"Last service isn't a date. ",IF(OR($D196&lt;18264,$D196&lt;&gt;INT($D196)),"Last service isn't a valid date. ",IF($D196&gt;AsOf,"Last service is after the as-of date. ",""))))&amp;IF($E196="","Interval missing.",IF(NOT(ISNUMBER($E196)),"Interval must be a number.",IF($E196&lt;&gt;INT($E196),"Interval must be whole months.",IF(OR($E196&lt;1,$E196&gt;240),"Interval must be 1-240 months.",""))))))</f>
        <v/>
      </c>
      <c r="J196" s="17" t="str">
        <f aca="false">IF(AND($A196="",$B196="",$C196="",$D196="",$E196=""),"",IF('Due List'!$B$4="Check details",IF($G196="Check details",ROW(),""),IF('Due List'!$B$4="All records",IF($G196="Check details",ROW()/100000,$F196+ROW()/100000),IF(OR($G196="Overdue",$G196="Due today",$G196="Due in next 30 days"),$F196+ROW()/100000,""))))</f>
        <v/>
      </c>
    </row>
    <row r="197" customFormat="false" ht="15" hidden="false" customHeight="false" outlineLevel="0" collapsed="false">
      <c r="A197" s="11"/>
      <c r="B197" s="11"/>
      <c r="C197" s="11"/>
      <c r="D197" s="12"/>
      <c r="E197" s="13"/>
      <c r="F197" s="14" t="str">
        <f aca="false">IF(OR(AND($A197="",$B197="",$C197="",$D197="",$E197=""),$I197&lt;&gt;""),"",EDATE($D197,$E197))</f>
        <v/>
      </c>
      <c r="G197" s="6" t="str">
        <f aca="false">IF(AND($A197="",$B197="",$C197="",$D197="",$E197=""),"",IF($I197&lt;&gt;"","Check details",IF($F197&lt;AsOf,"Overdue",IF($F197=AsOf,"Due today",IF($F197&lt;=AsOf+30,"Due in next 30 days","Later")))))</f>
        <v/>
      </c>
      <c r="H197" s="15" t="str">
        <f aca="false">IF($F197="","",$F197-AsOf)</f>
        <v/>
      </c>
      <c r="I197" s="16" t="str">
        <f aca="false">IF(AND($A197="",$B197="",$C197="",$D197="",$E197=""),"",TRIM(IF($A197="","Name missing. ","")&amp;IF($B197="","Site missing. ","")&amp;IF($D197="","Last service missing. ",IF(NOT(ISNUMBER($D197)),"Last service isn't a date. ",IF(OR($D197&lt;18264,$D197&lt;&gt;INT($D197)),"Last service isn't a valid date. ",IF($D197&gt;AsOf,"Last service is after the as-of date. ",""))))&amp;IF($E197="","Interval missing.",IF(NOT(ISNUMBER($E197)),"Interval must be a number.",IF($E197&lt;&gt;INT($E197),"Interval must be whole months.",IF(OR($E197&lt;1,$E197&gt;240),"Interval must be 1-240 months.",""))))))</f>
        <v/>
      </c>
      <c r="J197" s="17" t="str">
        <f aca="false">IF(AND($A197="",$B197="",$C197="",$D197="",$E197=""),"",IF('Due List'!$B$4="Check details",IF($G197="Check details",ROW(),""),IF('Due List'!$B$4="All records",IF($G197="Check details",ROW()/100000,$F197+ROW()/100000),IF(OR($G197="Overdue",$G197="Due today",$G197="Due in next 30 days"),$F197+ROW()/100000,""))))</f>
        <v/>
      </c>
    </row>
    <row r="198" customFormat="false" ht="15" hidden="false" customHeight="false" outlineLevel="0" collapsed="false">
      <c r="A198" s="11"/>
      <c r="B198" s="11"/>
      <c r="C198" s="11"/>
      <c r="D198" s="12"/>
      <c r="E198" s="13"/>
      <c r="F198" s="14" t="str">
        <f aca="false">IF(OR(AND($A198="",$B198="",$C198="",$D198="",$E198=""),$I198&lt;&gt;""),"",EDATE($D198,$E198))</f>
        <v/>
      </c>
      <c r="G198" s="6" t="str">
        <f aca="false">IF(AND($A198="",$B198="",$C198="",$D198="",$E198=""),"",IF($I198&lt;&gt;"","Check details",IF($F198&lt;AsOf,"Overdue",IF($F198=AsOf,"Due today",IF($F198&lt;=AsOf+30,"Due in next 30 days","Later")))))</f>
        <v/>
      </c>
      <c r="H198" s="15" t="str">
        <f aca="false">IF($F198="","",$F198-AsOf)</f>
        <v/>
      </c>
      <c r="I198" s="16" t="str">
        <f aca="false">IF(AND($A198="",$B198="",$C198="",$D198="",$E198=""),"",TRIM(IF($A198="","Name missing. ","")&amp;IF($B198="","Site missing. ","")&amp;IF($D198="","Last service missing. ",IF(NOT(ISNUMBER($D198)),"Last service isn't a date. ",IF(OR($D198&lt;18264,$D198&lt;&gt;INT($D198)),"Last service isn't a valid date. ",IF($D198&gt;AsOf,"Last service is after the as-of date. ",""))))&amp;IF($E198="","Interval missing.",IF(NOT(ISNUMBER($E198)),"Interval must be a number.",IF($E198&lt;&gt;INT($E198),"Interval must be whole months.",IF(OR($E198&lt;1,$E198&gt;240),"Interval must be 1-240 months.",""))))))</f>
        <v/>
      </c>
      <c r="J198" s="17" t="str">
        <f aca="false">IF(AND($A198="",$B198="",$C198="",$D198="",$E198=""),"",IF('Due List'!$B$4="Check details",IF($G198="Check details",ROW(),""),IF('Due List'!$B$4="All records",IF($G198="Check details",ROW()/100000,$F198+ROW()/100000),IF(OR($G198="Overdue",$G198="Due today",$G198="Due in next 30 days"),$F198+ROW()/100000,""))))</f>
        <v/>
      </c>
    </row>
    <row r="199" customFormat="false" ht="15" hidden="false" customHeight="false" outlineLevel="0" collapsed="false">
      <c r="A199" s="11"/>
      <c r="B199" s="11"/>
      <c r="C199" s="11"/>
      <c r="D199" s="12"/>
      <c r="E199" s="13"/>
      <c r="F199" s="14" t="str">
        <f aca="false">IF(OR(AND($A199="",$B199="",$C199="",$D199="",$E199=""),$I199&lt;&gt;""),"",EDATE($D199,$E199))</f>
        <v/>
      </c>
      <c r="G199" s="6" t="str">
        <f aca="false">IF(AND($A199="",$B199="",$C199="",$D199="",$E199=""),"",IF($I199&lt;&gt;"","Check details",IF($F199&lt;AsOf,"Overdue",IF($F199=AsOf,"Due today",IF($F199&lt;=AsOf+30,"Due in next 30 days","Later")))))</f>
        <v/>
      </c>
      <c r="H199" s="15" t="str">
        <f aca="false">IF($F199="","",$F199-AsOf)</f>
        <v/>
      </c>
      <c r="I199" s="16" t="str">
        <f aca="false">IF(AND($A199="",$B199="",$C199="",$D199="",$E199=""),"",TRIM(IF($A199="","Name missing. ","")&amp;IF($B199="","Site missing. ","")&amp;IF($D199="","Last service missing. ",IF(NOT(ISNUMBER($D199)),"Last service isn't a date. ",IF(OR($D199&lt;18264,$D199&lt;&gt;INT($D199)),"Last service isn't a valid date. ",IF($D199&gt;AsOf,"Last service is after the as-of date. ",""))))&amp;IF($E199="","Interval missing.",IF(NOT(ISNUMBER($E199)),"Interval must be a number.",IF($E199&lt;&gt;INT($E199),"Interval must be whole months.",IF(OR($E199&lt;1,$E199&gt;240),"Interval must be 1-240 months.",""))))))</f>
        <v/>
      </c>
      <c r="J199" s="17" t="str">
        <f aca="false">IF(AND($A199="",$B199="",$C199="",$D199="",$E199=""),"",IF('Due List'!$B$4="Check details",IF($G199="Check details",ROW(),""),IF('Due List'!$B$4="All records",IF($G199="Check details",ROW()/100000,$F199+ROW()/100000),IF(OR($G199="Overdue",$G199="Due today",$G199="Due in next 30 days"),$F199+ROW()/100000,""))))</f>
        <v/>
      </c>
    </row>
    <row r="200" customFormat="false" ht="15" hidden="false" customHeight="false" outlineLevel="0" collapsed="false">
      <c r="A200" s="11"/>
      <c r="B200" s="11"/>
      <c r="C200" s="11"/>
      <c r="D200" s="12"/>
      <c r="E200" s="13"/>
      <c r="F200" s="14" t="str">
        <f aca="false">IF(OR(AND($A200="",$B200="",$C200="",$D200="",$E200=""),$I200&lt;&gt;""),"",EDATE($D200,$E200))</f>
        <v/>
      </c>
      <c r="G200" s="6" t="str">
        <f aca="false">IF(AND($A200="",$B200="",$C200="",$D200="",$E200=""),"",IF($I200&lt;&gt;"","Check details",IF($F200&lt;AsOf,"Overdue",IF($F200=AsOf,"Due today",IF($F200&lt;=AsOf+30,"Due in next 30 days","Later")))))</f>
        <v/>
      </c>
      <c r="H200" s="15" t="str">
        <f aca="false">IF($F200="","",$F200-AsOf)</f>
        <v/>
      </c>
      <c r="I200" s="16" t="str">
        <f aca="false">IF(AND($A200="",$B200="",$C200="",$D200="",$E200=""),"",TRIM(IF($A200="","Name missing. ","")&amp;IF($B200="","Site missing. ","")&amp;IF($D200="","Last service missing. ",IF(NOT(ISNUMBER($D200)),"Last service isn't a date. ",IF(OR($D200&lt;18264,$D200&lt;&gt;INT($D200)),"Last service isn't a valid date. ",IF($D200&gt;AsOf,"Last service is after the as-of date. ",""))))&amp;IF($E200="","Interval missing.",IF(NOT(ISNUMBER($E200)),"Interval must be a number.",IF($E200&lt;&gt;INT($E200),"Interval must be whole months.",IF(OR($E200&lt;1,$E200&gt;240),"Interval must be 1-240 months.",""))))))</f>
        <v/>
      </c>
      <c r="J200" s="17" t="str">
        <f aca="false">IF(AND($A200="",$B200="",$C200="",$D200="",$E200=""),"",IF('Due List'!$B$4="Check details",IF($G200="Check details",ROW(),""),IF('Due List'!$B$4="All records",IF($G200="Check details",ROW()/100000,$F200+ROW()/100000),IF(OR($G200="Overdue",$G200="Due today",$G200="Due in next 30 days"),$F200+ROW()/100000,""))))</f>
        <v/>
      </c>
    </row>
    <row r="201" customFormat="false" ht="15" hidden="false" customHeight="false" outlineLevel="0" collapsed="false">
      <c r="A201" s="11"/>
      <c r="B201" s="11"/>
      <c r="C201" s="11"/>
      <c r="D201" s="12"/>
      <c r="E201" s="13"/>
      <c r="F201" s="14" t="str">
        <f aca="false">IF(OR(AND($A201="",$B201="",$C201="",$D201="",$E201=""),$I201&lt;&gt;""),"",EDATE($D201,$E201))</f>
        <v/>
      </c>
      <c r="G201" s="6" t="str">
        <f aca="false">IF(AND($A201="",$B201="",$C201="",$D201="",$E201=""),"",IF($I201&lt;&gt;"","Check details",IF($F201&lt;AsOf,"Overdue",IF($F201=AsOf,"Due today",IF($F201&lt;=AsOf+30,"Due in next 30 days","Later")))))</f>
        <v/>
      </c>
      <c r="H201" s="15" t="str">
        <f aca="false">IF($F201="","",$F201-AsOf)</f>
        <v/>
      </c>
      <c r="I201" s="16" t="str">
        <f aca="false">IF(AND($A201="",$B201="",$C201="",$D201="",$E201=""),"",TRIM(IF($A201="","Name missing. ","")&amp;IF($B201="","Site missing. ","")&amp;IF($D201="","Last service missing. ",IF(NOT(ISNUMBER($D201)),"Last service isn't a date. ",IF(OR($D201&lt;18264,$D201&lt;&gt;INT($D201)),"Last service isn't a valid date. ",IF($D201&gt;AsOf,"Last service is after the as-of date. ",""))))&amp;IF($E201="","Interval missing.",IF(NOT(ISNUMBER($E201)),"Interval must be a number.",IF($E201&lt;&gt;INT($E201),"Interval must be whole months.",IF(OR($E201&lt;1,$E201&gt;240),"Interval must be 1-240 months.",""))))))</f>
        <v/>
      </c>
      <c r="J201" s="17" t="str">
        <f aca="false">IF(AND($A201="",$B201="",$C201="",$D201="",$E201=""),"",IF('Due List'!$B$4="Check details",IF($G201="Check details",ROW(),""),IF('Due List'!$B$4="All records",IF($G201="Check details",ROW()/100000,$F201+ROW()/100000),IF(OR($G201="Overdue",$G201="Due today",$G201="Due in next 30 days"),$F201+ROW()/100000,""))))</f>
        <v/>
      </c>
    </row>
    <row r="202" customFormat="false" ht="15" hidden="false" customHeight="false" outlineLevel="0" collapsed="false">
      <c r="A202" s="11"/>
      <c r="B202" s="11"/>
      <c r="C202" s="11"/>
      <c r="D202" s="12"/>
      <c r="E202" s="13"/>
      <c r="F202" s="14" t="str">
        <f aca="false">IF(OR(AND($A202="",$B202="",$C202="",$D202="",$E202=""),$I202&lt;&gt;""),"",EDATE($D202,$E202))</f>
        <v/>
      </c>
      <c r="G202" s="6" t="str">
        <f aca="false">IF(AND($A202="",$B202="",$C202="",$D202="",$E202=""),"",IF($I202&lt;&gt;"","Check details",IF($F202&lt;AsOf,"Overdue",IF($F202=AsOf,"Due today",IF($F202&lt;=AsOf+30,"Due in next 30 days","Later")))))</f>
        <v/>
      </c>
      <c r="H202" s="15" t="str">
        <f aca="false">IF($F202="","",$F202-AsOf)</f>
        <v/>
      </c>
      <c r="I202" s="16" t="str">
        <f aca="false">IF(AND($A202="",$B202="",$C202="",$D202="",$E202=""),"",TRIM(IF($A202="","Name missing. ","")&amp;IF($B202="","Site missing. ","")&amp;IF($D202="","Last service missing. ",IF(NOT(ISNUMBER($D202)),"Last service isn't a date. ",IF(OR($D202&lt;18264,$D202&lt;&gt;INT($D202)),"Last service isn't a valid date. ",IF($D202&gt;AsOf,"Last service is after the as-of date. ",""))))&amp;IF($E202="","Interval missing.",IF(NOT(ISNUMBER($E202)),"Interval must be a number.",IF($E202&lt;&gt;INT($E202),"Interval must be whole months.",IF(OR($E202&lt;1,$E202&gt;240),"Interval must be 1-240 months.",""))))))</f>
        <v/>
      </c>
      <c r="J202" s="17" t="str">
        <f aca="false">IF(AND($A202="",$B202="",$C202="",$D202="",$E202=""),"",IF('Due List'!$B$4="Check details",IF($G202="Check details",ROW(),""),IF('Due List'!$B$4="All records",IF($G202="Check details",ROW()/100000,$F202+ROW()/100000),IF(OR($G202="Overdue",$G202="Due today",$G202="Due in next 30 days"),$F202+ROW()/100000,""))))</f>
        <v/>
      </c>
    </row>
    <row r="203" customFormat="false" ht="15" hidden="false" customHeight="false" outlineLevel="0" collapsed="false">
      <c r="A203" s="11"/>
      <c r="B203" s="11"/>
      <c r="C203" s="11"/>
      <c r="D203" s="12"/>
      <c r="E203" s="13"/>
      <c r="F203" s="14" t="str">
        <f aca="false">IF(OR(AND($A203="",$B203="",$C203="",$D203="",$E203=""),$I203&lt;&gt;""),"",EDATE($D203,$E203))</f>
        <v/>
      </c>
      <c r="G203" s="6" t="str">
        <f aca="false">IF(AND($A203="",$B203="",$C203="",$D203="",$E203=""),"",IF($I203&lt;&gt;"","Check details",IF($F203&lt;AsOf,"Overdue",IF($F203=AsOf,"Due today",IF($F203&lt;=AsOf+30,"Due in next 30 days","Later")))))</f>
        <v/>
      </c>
      <c r="H203" s="15" t="str">
        <f aca="false">IF($F203="","",$F203-AsOf)</f>
        <v/>
      </c>
      <c r="I203" s="16" t="str">
        <f aca="false">IF(AND($A203="",$B203="",$C203="",$D203="",$E203=""),"",TRIM(IF($A203="","Name missing. ","")&amp;IF($B203="","Site missing. ","")&amp;IF($D203="","Last service missing. ",IF(NOT(ISNUMBER($D203)),"Last service isn't a date. ",IF(OR($D203&lt;18264,$D203&lt;&gt;INT($D203)),"Last service isn't a valid date. ",IF($D203&gt;AsOf,"Last service is after the as-of date. ",""))))&amp;IF($E203="","Interval missing.",IF(NOT(ISNUMBER($E203)),"Interval must be a number.",IF($E203&lt;&gt;INT($E203),"Interval must be whole months.",IF(OR($E203&lt;1,$E203&gt;240),"Interval must be 1-240 months.",""))))))</f>
        <v/>
      </c>
      <c r="J203" s="17" t="str">
        <f aca="false">IF(AND($A203="",$B203="",$C203="",$D203="",$E203=""),"",IF('Due List'!$B$4="Check details",IF($G203="Check details",ROW(),""),IF('Due List'!$B$4="All records",IF($G203="Check details",ROW()/100000,$F203+ROW()/100000),IF(OR($G203="Overdue",$G203="Due today",$G203="Due in next 30 days"),$F203+ROW()/100000,""))))</f>
        <v/>
      </c>
    </row>
    <row r="204" customFormat="false" ht="15" hidden="false" customHeight="false" outlineLevel="0" collapsed="false">
      <c r="A204" s="11"/>
      <c r="B204" s="11"/>
      <c r="C204" s="11"/>
      <c r="D204" s="12"/>
      <c r="E204" s="13"/>
      <c r="F204" s="14" t="str">
        <f aca="false">IF(OR(AND($A204="",$B204="",$C204="",$D204="",$E204=""),$I204&lt;&gt;""),"",EDATE($D204,$E204))</f>
        <v/>
      </c>
      <c r="G204" s="6" t="str">
        <f aca="false">IF(AND($A204="",$B204="",$C204="",$D204="",$E204=""),"",IF($I204&lt;&gt;"","Check details",IF($F204&lt;AsOf,"Overdue",IF($F204=AsOf,"Due today",IF($F204&lt;=AsOf+30,"Due in next 30 days","Later")))))</f>
        <v/>
      </c>
      <c r="H204" s="15" t="str">
        <f aca="false">IF($F204="","",$F204-AsOf)</f>
        <v/>
      </c>
      <c r="I204" s="16" t="str">
        <f aca="false">IF(AND($A204="",$B204="",$C204="",$D204="",$E204=""),"",TRIM(IF($A204="","Name missing. ","")&amp;IF($B204="","Site missing. ","")&amp;IF($D204="","Last service missing. ",IF(NOT(ISNUMBER($D204)),"Last service isn't a date. ",IF(OR($D204&lt;18264,$D204&lt;&gt;INT($D204)),"Last service isn't a valid date. ",IF($D204&gt;AsOf,"Last service is after the as-of date. ",""))))&amp;IF($E204="","Interval missing.",IF(NOT(ISNUMBER($E204)),"Interval must be a number.",IF($E204&lt;&gt;INT($E204),"Interval must be whole months.",IF(OR($E204&lt;1,$E204&gt;240),"Interval must be 1-240 months.",""))))))</f>
        <v/>
      </c>
      <c r="J204" s="17" t="str">
        <f aca="false">IF(AND($A204="",$B204="",$C204="",$D204="",$E204=""),"",IF('Due List'!$B$4="Check details",IF($G204="Check details",ROW(),""),IF('Due List'!$B$4="All records",IF($G204="Check details",ROW()/100000,$F204+ROW()/100000),IF(OR($G204="Overdue",$G204="Due today",$G204="Due in next 30 days"),$F204+ROW()/100000,""))))</f>
        <v/>
      </c>
    </row>
    <row r="205" customFormat="false" ht="15" hidden="false" customHeight="false" outlineLevel="0" collapsed="false">
      <c r="A205" s="11"/>
      <c r="B205" s="11"/>
      <c r="C205" s="11"/>
      <c r="D205" s="12"/>
      <c r="E205" s="13"/>
      <c r="F205" s="14" t="str">
        <f aca="false">IF(OR(AND($A205="",$B205="",$C205="",$D205="",$E205=""),$I205&lt;&gt;""),"",EDATE($D205,$E205))</f>
        <v/>
      </c>
      <c r="G205" s="6" t="str">
        <f aca="false">IF(AND($A205="",$B205="",$C205="",$D205="",$E205=""),"",IF($I205&lt;&gt;"","Check details",IF($F205&lt;AsOf,"Overdue",IF($F205=AsOf,"Due today",IF($F205&lt;=AsOf+30,"Due in next 30 days","Later")))))</f>
        <v/>
      </c>
      <c r="H205" s="15" t="str">
        <f aca="false">IF($F205="","",$F205-AsOf)</f>
        <v/>
      </c>
      <c r="I205" s="16" t="str">
        <f aca="false">IF(AND($A205="",$B205="",$C205="",$D205="",$E205=""),"",TRIM(IF($A205="","Name missing. ","")&amp;IF($B205="","Site missing. ","")&amp;IF($D205="","Last service missing. ",IF(NOT(ISNUMBER($D205)),"Last service isn't a date. ",IF(OR($D205&lt;18264,$D205&lt;&gt;INT($D205)),"Last service isn't a valid date. ",IF($D205&gt;AsOf,"Last service is after the as-of date. ",""))))&amp;IF($E205="","Interval missing.",IF(NOT(ISNUMBER($E205)),"Interval must be a number.",IF($E205&lt;&gt;INT($E205),"Interval must be whole months.",IF(OR($E205&lt;1,$E205&gt;240),"Interval must be 1-240 months.",""))))))</f>
        <v/>
      </c>
      <c r="J205" s="17" t="str">
        <f aca="false">IF(AND($A205="",$B205="",$C205="",$D205="",$E205=""),"",IF('Due List'!$B$4="Check details",IF($G205="Check details",ROW(),""),IF('Due List'!$B$4="All records",IF($G205="Check details",ROW()/100000,$F205+ROW()/100000),IF(OR($G205="Overdue",$G205="Due today",$G205="Due in next 30 days"),$F205+ROW()/100000,""))))</f>
        <v/>
      </c>
    </row>
    <row r="206" customFormat="false" ht="15" hidden="false" customHeight="false" outlineLevel="0" collapsed="false">
      <c r="A206" s="11"/>
      <c r="B206" s="11"/>
      <c r="C206" s="11"/>
      <c r="D206" s="12"/>
      <c r="E206" s="13"/>
      <c r="F206" s="14" t="str">
        <f aca="false">IF(OR(AND($A206="",$B206="",$C206="",$D206="",$E206=""),$I206&lt;&gt;""),"",EDATE($D206,$E206))</f>
        <v/>
      </c>
      <c r="G206" s="6" t="str">
        <f aca="false">IF(AND($A206="",$B206="",$C206="",$D206="",$E206=""),"",IF($I206&lt;&gt;"","Check details",IF($F206&lt;AsOf,"Overdue",IF($F206=AsOf,"Due today",IF($F206&lt;=AsOf+30,"Due in next 30 days","Later")))))</f>
        <v/>
      </c>
      <c r="H206" s="15" t="str">
        <f aca="false">IF($F206="","",$F206-AsOf)</f>
        <v/>
      </c>
      <c r="I206" s="16" t="str">
        <f aca="false">IF(AND($A206="",$B206="",$C206="",$D206="",$E206=""),"",TRIM(IF($A206="","Name missing. ","")&amp;IF($B206="","Site missing. ","")&amp;IF($D206="","Last service missing. ",IF(NOT(ISNUMBER($D206)),"Last service isn't a date. ",IF(OR($D206&lt;18264,$D206&lt;&gt;INT($D206)),"Last service isn't a valid date. ",IF($D206&gt;AsOf,"Last service is after the as-of date. ",""))))&amp;IF($E206="","Interval missing.",IF(NOT(ISNUMBER($E206)),"Interval must be a number.",IF($E206&lt;&gt;INT($E206),"Interval must be whole months.",IF(OR($E206&lt;1,$E206&gt;240),"Interval must be 1-240 months.",""))))))</f>
        <v/>
      </c>
      <c r="J206" s="17" t="str">
        <f aca="false">IF(AND($A206="",$B206="",$C206="",$D206="",$E206=""),"",IF('Due List'!$B$4="Check details",IF($G206="Check details",ROW(),""),IF('Due List'!$B$4="All records",IF($G206="Check details",ROW()/100000,$F206+ROW()/100000),IF(OR($G206="Overdue",$G206="Due today",$G206="Due in next 30 days"),$F206+ROW()/100000,""))))</f>
        <v/>
      </c>
    </row>
    <row r="207" customFormat="false" ht="15" hidden="false" customHeight="false" outlineLevel="0" collapsed="false">
      <c r="A207" s="11"/>
      <c r="B207" s="11"/>
      <c r="C207" s="11"/>
      <c r="D207" s="12"/>
      <c r="E207" s="13"/>
      <c r="F207" s="14" t="str">
        <f aca="false">IF(OR(AND($A207="",$B207="",$C207="",$D207="",$E207=""),$I207&lt;&gt;""),"",EDATE($D207,$E207))</f>
        <v/>
      </c>
      <c r="G207" s="6" t="str">
        <f aca="false">IF(AND($A207="",$B207="",$C207="",$D207="",$E207=""),"",IF($I207&lt;&gt;"","Check details",IF($F207&lt;AsOf,"Overdue",IF($F207=AsOf,"Due today",IF($F207&lt;=AsOf+30,"Due in next 30 days","Later")))))</f>
        <v/>
      </c>
      <c r="H207" s="15" t="str">
        <f aca="false">IF($F207="","",$F207-AsOf)</f>
        <v/>
      </c>
      <c r="I207" s="16" t="str">
        <f aca="false">IF(AND($A207="",$B207="",$C207="",$D207="",$E207=""),"",TRIM(IF($A207="","Name missing. ","")&amp;IF($B207="","Site missing. ","")&amp;IF($D207="","Last service missing. ",IF(NOT(ISNUMBER($D207)),"Last service isn't a date. ",IF(OR($D207&lt;18264,$D207&lt;&gt;INT($D207)),"Last service isn't a valid date. ",IF($D207&gt;AsOf,"Last service is after the as-of date. ",""))))&amp;IF($E207="","Interval missing.",IF(NOT(ISNUMBER($E207)),"Interval must be a number.",IF($E207&lt;&gt;INT($E207),"Interval must be whole months.",IF(OR($E207&lt;1,$E207&gt;240),"Interval must be 1-240 months.",""))))))</f>
        <v/>
      </c>
      <c r="J207" s="17" t="str">
        <f aca="false">IF(AND($A207="",$B207="",$C207="",$D207="",$E207=""),"",IF('Due List'!$B$4="Check details",IF($G207="Check details",ROW(),""),IF('Due List'!$B$4="All records",IF($G207="Check details",ROW()/100000,$F207+ROW()/100000),IF(OR($G207="Overdue",$G207="Due today",$G207="Due in next 30 days"),$F207+ROW()/100000,""))))</f>
        <v/>
      </c>
    </row>
    <row r="208" customFormat="false" ht="15" hidden="false" customHeight="false" outlineLevel="0" collapsed="false">
      <c r="A208" s="11"/>
      <c r="B208" s="11"/>
      <c r="C208" s="11"/>
      <c r="D208" s="12"/>
      <c r="E208" s="13"/>
      <c r="F208" s="14" t="str">
        <f aca="false">IF(OR(AND($A208="",$B208="",$C208="",$D208="",$E208=""),$I208&lt;&gt;""),"",EDATE($D208,$E208))</f>
        <v/>
      </c>
      <c r="G208" s="6" t="str">
        <f aca="false">IF(AND($A208="",$B208="",$C208="",$D208="",$E208=""),"",IF($I208&lt;&gt;"","Check details",IF($F208&lt;AsOf,"Overdue",IF($F208=AsOf,"Due today",IF($F208&lt;=AsOf+30,"Due in next 30 days","Later")))))</f>
        <v/>
      </c>
      <c r="H208" s="15" t="str">
        <f aca="false">IF($F208="","",$F208-AsOf)</f>
        <v/>
      </c>
      <c r="I208" s="16" t="str">
        <f aca="false">IF(AND($A208="",$B208="",$C208="",$D208="",$E208=""),"",TRIM(IF($A208="","Name missing. ","")&amp;IF($B208="","Site missing. ","")&amp;IF($D208="","Last service missing. ",IF(NOT(ISNUMBER($D208)),"Last service isn't a date. ",IF(OR($D208&lt;18264,$D208&lt;&gt;INT($D208)),"Last service isn't a valid date. ",IF($D208&gt;AsOf,"Last service is after the as-of date. ",""))))&amp;IF($E208="","Interval missing.",IF(NOT(ISNUMBER($E208)),"Interval must be a number.",IF($E208&lt;&gt;INT($E208),"Interval must be whole months.",IF(OR($E208&lt;1,$E208&gt;240),"Interval must be 1-240 months.",""))))))</f>
        <v/>
      </c>
      <c r="J208" s="17" t="str">
        <f aca="false">IF(AND($A208="",$B208="",$C208="",$D208="",$E208=""),"",IF('Due List'!$B$4="Check details",IF($G208="Check details",ROW(),""),IF('Due List'!$B$4="All records",IF($G208="Check details",ROW()/100000,$F208+ROW()/100000),IF(OR($G208="Overdue",$G208="Due today",$G208="Due in next 30 days"),$F208+ROW()/100000,""))))</f>
        <v/>
      </c>
    </row>
    <row r="209" customFormat="false" ht="15" hidden="false" customHeight="false" outlineLevel="0" collapsed="false">
      <c r="A209" s="11"/>
      <c r="B209" s="11"/>
      <c r="C209" s="11"/>
      <c r="D209" s="12"/>
      <c r="E209" s="13"/>
      <c r="F209" s="14" t="str">
        <f aca="false">IF(OR(AND($A209="",$B209="",$C209="",$D209="",$E209=""),$I209&lt;&gt;""),"",EDATE($D209,$E209))</f>
        <v/>
      </c>
      <c r="G209" s="6" t="str">
        <f aca="false">IF(AND($A209="",$B209="",$C209="",$D209="",$E209=""),"",IF($I209&lt;&gt;"","Check details",IF($F209&lt;AsOf,"Overdue",IF($F209=AsOf,"Due today",IF($F209&lt;=AsOf+30,"Due in next 30 days","Later")))))</f>
        <v/>
      </c>
      <c r="H209" s="15" t="str">
        <f aca="false">IF($F209="","",$F209-AsOf)</f>
        <v/>
      </c>
      <c r="I209" s="16" t="str">
        <f aca="false">IF(AND($A209="",$B209="",$C209="",$D209="",$E209=""),"",TRIM(IF($A209="","Name missing. ","")&amp;IF($B209="","Site missing. ","")&amp;IF($D209="","Last service missing. ",IF(NOT(ISNUMBER($D209)),"Last service isn't a date. ",IF(OR($D209&lt;18264,$D209&lt;&gt;INT($D209)),"Last service isn't a valid date. ",IF($D209&gt;AsOf,"Last service is after the as-of date. ",""))))&amp;IF($E209="","Interval missing.",IF(NOT(ISNUMBER($E209)),"Interval must be a number.",IF($E209&lt;&gt;INT($E209),"Interval must be whole months.",IF(OR($E209&lt;1,$E209&gt;240),"Interval must be 1-240 months.",""))))))</f>
        <v/>
      </c>
      <c r="J209" s="17" t="str">
        <f aca="false">IF(AND($A209="",$B209="",$C209="",$D209="",$E209=""),"",IF('Due List'!$B$4="Check details",IF($G209="Check details",ROW(),""),IF('Due List'!$B$4="All records",IF($G209="Check details",ROW()/100000,$F209+ROW()/100000),IF(OR($G209="Overdue",$G209="Due today",$G209="Due in next 30 days"),$F209+ROW()/100000,""))))</f>
        <v/>
      </c>
    </row>
    <row r="210" customFormat="false" ht="15" hidden="false" customHeight="false" outlineLevel="0" collapsed="false">
      <c r="A210" s="11"/>
      <c r="B210" s="11"/>
      <c r="C210" s="11"/>
      <c r="D210" s="12"/>
      <c r="E210" s="13"/>
      <c r="F210" s="14" t="str">
        <f aca="false">IF(OR(AND($A210="",$B210="",$C210="",$D210="",$E210=""),$I210&lt;&gt;""),"",EDATE($D210,$E210))</f>
        <v/>
      </c>
      <c r="G210" s="6" t="str">
        <f aca="false">IF(AND($A210="",$B210="",$C210="",$D210="",$E210=""),"",IF($I210&lt;&gt;"","Check details",IF($F210&lt;AsOf,"Overdue",IF($F210=AsOf,"Due today",IF($F210&lt;=AsOf+30,"Due in next 30 days","Later")))))</f>
        <v/>
      </c>
      <c r="H210" s="15" t="str">
        <f aca="false">IF($F210="","",$F210-AsOf)</f>
        <v/>
      </c>
      <c r="I210" s="16" t="str">
        <f aca="false">IF(AND($A210="",$B210="",$C210="",$D210="",$E210=""),"",TRIM(IF($A210="","Name missing. ","")&amp;IF($B210="","Site missing. ","")&amp;IF($D210="","Last service missing. ",IF(NOT(ISNUMBER($D210)),"Last service isn't a date. ",IF(OR($D210&lt;18264,$D210&lt;&gt;INT($D210)),"Last service isn't a valid date. ",IF($D210&gt;AsOf,"Last service is after the as-of date. ",""))))&amp;IF($E210="","Interval missing.",IF(NOT(ISNUMBER($E210)),"Interval must be a number.",IF($E210&lt;&gt;INT($E210),"Interval must be whole months.",IF(OR($E210&lt;1,$E210&gt;240),"Interval must be 1-240 months.",""))))))</f>
        <v/>
      </c>
      <c r="J210" s="17" t="str">
        <f aca="false">IF(AND($A210="",$B210="",$C210="",$D210="",$E210=""),"",IF('Due List'!$B$4="Check details",IF($G210="Check details",ROW(),""),IF('Due List'!$B$4="All records",IF($G210="Check details",ROW()/100000,$F210+ROW()/100000),IF(OR($G210="Overdue",$G210="Due today",$G210="Due in next 30 days"),$F210+ROW()/100000,""))))</f>
        <v/>
      </c>
    </row>
    <row r="211" customFormat="false" ht="15" hidden="false" customHeight="false" outlineLevel="0" collapsed="false">
      <c r="A211" s="11"/>
      <c r="B211" s="11"/>
      <c r="C211" s="11"/>
      <c r="D211" s="12"/>
      <c r="E211" s="13"/>
      <c r="F211" s="14" t="str">
        <f aca="false">IF(OR(AND($A211="",$B211="",$C211="",$D211="",$E211=""),$I211&lt;&gt;""),"",EDATE($D211,$E211))</f>
        <v/>
      </c>
      <c r="G211" s="6" t="str">
        <f aca="false">IF(AND($A211="",$B211="",$C211="",$D211="",$E211=""),"",IF($I211&lt;&gt;"","Check details",IF($F211&lt;AsOf,"Overdue",IF($F211=AsOf,"Due today",IF($F211&lt;=AsOf+30,"Due in next 30 days","Later")))))</f>
        <v/>
      </c>
      <c r="H211" s="15" t="str">
        <f aca="false">IF($F211="","",$F211-AsOf)</f>
        <v/>
      </c>
      <c r="I211" s="16" t="str">
        <f aca="false">IF(AND($A211="",$B211="",$C211="",$D211="",$E211=""),"",TRIM(IF($A211="","Name missing. ","")&amp;IF($B211="","Site missing. ","")&amp;IF($D211="","Last service missing. ",IF(NOT(ISNUMBER($D211)),"Last service isn't a date. ",IF(OR($D211&lt;18264,$D211&lt;&gt;INT($D211)),"Last service isn't a valid date. ",IF($D211&gt;AsOf,"Last service is after the as-of date. ",""))))&amp;IF($E211="","Interval missing.",IF(NOT(ISNUMBER($E211)),"Interval must be a number.",IF($E211&lt;&gt;INT($E211),"Interval must be whole months.",IF(OR($E211&lt;1,$E211&gt;240),"Interval must be 1-240 months.",""))))))</f>
        <v/>
      </c>
      <c r="J211" s="17" t="str">
        <f aca="false">IF(AND($A211="",$B211="",$C211="",$D211="",$E211=""),"",IF('Due List'!$B$4="Check details",IF($G211="Check details",ROW(),""),IF('Due List'!$B$4="All records",IF($G211="Check details",ROW()/100000,$F211+ROW()/100000),IF(OR($G211="Overdue",$G211="Due today",$G211="Due in next 30 days"),$F211+ROW()/100000,""))))</f>
        <v/>
      </c>
    </row>
    <row r="212" customFormat="false" ht="15" hidden="false" customHeight="false" outlineLevel="0" collapsed="false">
      <c r="A212" s="11"/>
      <c r="B212" s="11"/>
      <c r="C212" s="11"/>
      <c r="D212" s="12"/>
      <c r="E212" s="13"/>
      <c r="F212" s="14" t="str">
        <f aca="false">IF(OR(AND($A212="",$B212="",$C212="",$D212="",$E212=""),$I212&lt;&gt;""),"",EDATE($D212,$E212))</f>
        <v/>
      </c>
      <c r="G212" s="6" t="str">
        <f aca="false">IF(AND($A212="",$B212="",$C212="",$D212="",$E212=""),"",IF($I212&lt;&gt;"","Check details",IF($F212&lt;AsOf,"Overdue",IF($F212=AsOf,"Due today",IF($F212&lt;=AsOf+30,"Due in next 30 days","Later")))))</f>
        <v/>
      </c>
      <c r="H212" s="15" t="str">
        <f aca="false">IF($F212="","",$F212-AsOf)</f>
        <v/>
      </c>
      <c r="I212" s="16" t="str">
        <f aca="false">IF(AND($A212="",$B212="",$C212="",$D212="",$E212=""),"",TRIM(IF($A212="","Name missing. ","")&amp;IF($B212="","Site missing. ","")&amp;IF($D212="","Last service missing. ",IF(NOT(ISNUMBER($D212)),"Last service isn't a date. ",IF(OR($D212&lt;18264,$D212&lt;&gt;INT($D212)),"Last service isn't a valid date. ",IF($D212&gt;AsOf,"Last service is after the as-of date. ",""))))&amp;IF($E212="","Interval missing.",IF(NOT(ISNUMBER($E212)),"Interval must be a number.",IF($E212&lt;&gt;INT($E212),"Interval must be whole months.",IF(OR($E212&lt;1,$E212&gt;240),"Interval must be 1-240 months.",""))))))</f>
        <v/>
      </c>
      <c r="J212" s="17" t="str">
        <f aca="false">IF(AND($A212="",$B212="",$C212="",$D212="",$E212=""),"",IF('Due List'!$B$4="Check details",IF($G212="Check details",ROW(),""),IF('Due List'!$B$4="All records",IF($G212="Check details",ROW()/100000,$F212+ROW()/100000),IF(OR($G212="Overdue",$G212="Due today",$G212="Due in next 30 days"),$F212+ROW()/100000,""))))</f>
        <v/>
      </c>
    </row>
    <row r="213" customFormat="false" ht="15" hidden="false" customHeight="false" outlineLevel="0" collapsed="false">
      <c r="A213" s="11"/>
      <c r="B213" s="11"/>
      <c r="C213" s="11"/>
      <c r="D213" s="12"/>
      <c r="E213" s="13"/>
      <c r="F213" s="14" t="str">
        <f aca="false">IF(OR(AND($A213="",$B213="",$C213="",$D213="",$E213=""),$I213&lt;&gt;""),"",EDATE($D213,$E213))</f>
        <v/>
      </c>
      <c r="G213" s="6" t="str">
        <f aca="false">IF(AND($A213="",$B213="",$C213="",$D213="",$E213=""),"",IF($I213&lt;&gt;"","Check details",IF($F213&lt;AsOf,"Overdue",IF($F213=AsOf,"Due today",IF($F213&lt;=AsOf+30,"Due in next 30 days","Later")))))</f>
        <v/>
      </c>
      <c r="H213" s="15" t="str">
        <f aca="false">IF($F213="","",$F213-AsOf)</f>
        <v/>
      </c>
      <c r="I213" s="16" t="str">
        <f aca="false">IF(AND($A213="",$B213="",$C213="",$D213="",$E213=""),"",TRIM(IF($A213="","Name missing. ","")&amp;IF($B213="","Site missing. ","")&amp;IF($D213="","Last service missing. ",IF(NOT(ISNUMBER($D213)),"Last service isn't a date. ",IF(OR($D213&lt;18264,$D213&lt;&gt;INT($D213)),"Last service isn't a valid date. ",IF($D213&gt;AsOf,"Last service is after the as-of date. ",""))))&amp;IF($E213="","Interval missing.",IF(NOT(ISNUMBER($E213)),"Interval must be a number.",IF($E213&lt;&gt;INT($E213),"Interval must be whole months.",IF(OR($E213&lt;1,$E213&gt;240),"Interval must be 1-240 months.",""))))))</f>
        <v/>
      </c>
      <c r="J213" s="17" t="str">
        <f aca="false">IF(AND($A213="",$B213="",$C213="",$D213="",$E213=""),"",IF('Due List'!$B$4="Check details",IF($G213="Check details",ROW(),""),IF('Due List'!$B$4="All records",IF($G213="Check details",ROW()/100000,$F213+ROW()/100000),IF(OR($G213="Overdue",$G213="Due today",$G213="Due in next 30 days"),$F213+ROW()/100000,""))))</f>
        <v/>
      </c>
    </row>
    <row r="214" customFormat="false" ht="15" hidden="false" customHeight="false" outlineLevel="0" collapsed="false">
      <c r="A214" s="11"/>
      <c r="B214" s="11"/>
      <c r="C214" s="11"/>
      <c r="D214" s="12"/>
      <c r="E214" s="13"/>
      <c r="F214" s="14" t="str">
        <f aca="false">IF(OR(AND($A214="",$B214="",$C214="",$D214="",$E214=""),$I214&lt;&gt;""),"",EDATE($D214,$E214))</f>
        <v/>
      </c>
      <c r="G214" s="6" t="str">
        <f aca="false">IF(AND($A214="",$B214="",$C214="",$D214="",$E214=""),"",IF($I214&lt;&gt;"","Check details",IF($F214&lt;AsOf,"Overdue",IF($F214=AsOf,"Due today",IF($F214&lt;=AsOf+30,"Due in next 30 days","Later")))))</f>
        <v/>
      </c>
      <c r="H214" s="15" t="str">
        <f aca="false">IF($F214="","",$F214-AsOf)</f>
        <v/>
      </c>
      <c r="I214" s="16" t="str">
        <f aca="false">IF(AND($A214="",$B214="",$C214="",$D214="",$E214=""),"",TRIM(IF($A214="","Name missing. ","")&amp;IF($B214="","Site missing. ","")&amp;IF($D214="","Last service missing. ",IF(NOT(ISNUMBER($D214)),"Last service isn't a date. ",IF(OR($D214&lt;18264,$D214&lt;&gt;INT($D214)),"Last service isn't a valid date. ",IF($D214&gt;AsOf,"Last service is after the as-of date. ",""))))&amp;IF($E214="","Interval missing.",IF(NOT(ISNUMBER($E214)),"Interval must be a number.",IF($E214&lt;&gt;INT($E214),"Interval must be whole months.",IF(OR($E214&lt;1,$E214&gt;240),"Interval must be 1-240 months.",""))))))</f>
        <v/>
      </c>
      <c r="J214" s="17" t="str">
        <f aca="false">IF(AND($A214="",$B214="",$C214="",$D214="",$E214=""),"",IF('Due List'!$B$4="Check details",IF($G214="Check details",ROW(),""),IF('Due List'!$B$4="All records",IF($G214="Check details",ROW()/100000,$F214+ROW()/100000),IF(OR($G214="Overdue",$G214="Due today",$G214="Due in next 30 days"),$F214+ROW()/100000,""))))</f>
        <v/>
      </c>
    </row>
    <row r="215" customFormat="false" ht="15" hidden="false" customHeight="false" outlineLevel="0" collapsed="false">
      <c r="A215" s="11"/>
      <c r="B215" s="11"/>
      <c r="C215" s="11"/>
      <c r="D215" s="12"/>
      <c r="E215" s="13"/>
      <c r="F215" s="14" t="str">
        <f aca="false">IF(OR(AND($A215="",$B215="",$C215="",$D215="",$E215=""),$I215&lt;&gt;""),"",EDATE($D215,$E215))</f>
        <v/>
      </c>
      <c r="G215" s="6" t="str">
        <f aca="false">IF(AND($A215="",$B215="",$C215="",$D215="",$E215=""),"",IF($I215&lt;&gt;"","Check details",IF($F215&lt;AsOf,"Overdue",IF($F215=AsOf,"Due today",IF($F215&lt;=AsOf+30,"Due in next 30 days","Later")))))</f>
        <v/>
      </c>
      <c r="H215" s="15" t="str">
        <f aca="false">IF($F215="","",$F215-AsOf)</f>
        <v/>
      </c>
      <c r="I215" s="16" t="str">
        <f aca="false">IF(AND($A215="",$B215="",$C215="",$D215="",$E215=""),"",TRIM(IF($A215="","Name missing. ","")&amp;IF($B215="","Site missing. ","")&amp;IF($D215="","Last service missing. ",IF(NOT(ISNUMBER($D215)),"Last service isn't a date. ",IF(OR($D215&lt;18264,$D215&lt;&gt;INT($D215)),"Last service isn't a valid date. ",IF($D215&gt;AsOf,"Last service is after the as-of date. ",""))))&amp;IF($E215="","Interval missing.",IF(NOT(ISNUMBER($E215)),"Interval must be a number.",IF($E215&lt;&gt;INT($E215),"Interval must be whole months.",IF(OR($E215&lt;1,$E215&gt;240),"Interval must be 1-240 months.",""))))))</f>
        <v/>
      </c>
      <c r="J215" s="17" t="str">
        <f aca="false">IF(AND($A215="",$B215="",$C215="",$D215="",$E215=""),"",IF('Due List'!$B$4="Check details",IF($G215="Check details",ROW(),""),IF('Due List'!$B$4="All records",IF($G215="Check details",ROW()/100000,$F215+ROW()/100000),IF(OR($G215="Overdue",$G215="Due today",$G215="Due in next 30 days"),$F215+ROW()/100000,""))))</f>
        <v/>
      </c>
    </row>
    <row r="216" customFormat="false" ht="15" hidden="false" customHeight="false" outlineLevel="0" collapsed="false">
      <c r="A216" s="11"/>
      <c r="B216" s="11"/>
      <c r="C216" s="11"/>
      <c r="D216" s="12"/>
      <c r="E216" s="13"/>
      <c r="F216" s="14" t="str">
        <f aca="false">IF(OR(AND($A216="",$B216="",$C216="",$D216="",$E216=""),$I216&lt;&gt;""),"",EDATE($D216,$E216))</f>
        <v/>
      </c>
      <c r="G216" s="6" t="str">
        <f aca="false">IF(AND($A216="",$B216="",$C216="",$D216="",$E216=""),"",IF($I216&lt;&gt;"","Check details",IF($F216&lt;AsOf,"Overdue",IF($F216=AsOf,"Due today",IF($F216&lt;=AsOf+30,"Due in next 30 days","Later")))))</f>
        <v/>
      </c>
      <c r="H216" s="15" t="str">
        <f aca="false">IF($F216="","",$F216-AsOf)</f>
        <v/>
      </c>
      <c r="I216" s="16" t="str">
        <f aca="false">IF(AND($A216="",$B216="",$C216="",$D216="",$E216=""),"",TRIM(IF($A216="","Name missing. ","")&amp;IF($B216="","Site missing. ","")&amp;IF($D216="","Last service missing. ",IF(NOT(ISNUMBER($D216)),"Last service isn't a date. ",IF(OR($D216&lt;18264,$D216&lt;&gt;INT($D216)),"Last service isn't a valid date. ",IF($D216&gt;AsOf,"Last service is after the as-of date. ",""))))&amp;IF($E216="","Interval missing.",IF(NOT(ISNUMBER($E216)),"Interval must be a number.",IF($E216&lt;&gt;INT($E216),"Interval must be whole months.",IF(OR($E216&lt;1,$E216&gt;240),"Interval must be 1-240 months.",""))))))</f>
        <v/>
      </c>
      <c r="J216" s="17" t="str">
        <f aca="false">IF(AND($A216="",$B216="",$C216="",$D216="",$E216=""),"",IF('Due List'!$B$4="Check details",IF($G216="Check details",ROW(),""),IF('Due List'!$B$4="All records",IF($G216="Check details",ROW()/100000,$F216+ROW()/100000),IF(OR($G216="Overdue",$G216="Due today",$G216="Due in next 30 days"),$F216+ROW()/100000,""))))</f>
        <v/>
      </c>
    </row>
    <row r="217" customFormat="false" ht="15" hidden="false" customHeight="false" outlineLevel="0" collapsed="false">
      <c r="A217" s="11"/>
      <c r="B217" s="11"/>
      <c r="C217" s="11"/>
      <c r="D217" s="12"/>
      <c r="E217" s="13"/>
      <c r="F217" s="14" t="str">
        <f aca="false">IF(OR(AND($A217="",$B217="",$C217="",$D217="",$E217=""),$I217&lt;&gt;""),"",EDATE($D217,$E217))</f>
        <v/>
      </c>
      <c r="G217" s="6" t="str">
        <f aca="false">IF(AND($A217="",$B217="",$C217="",$D217="",$E217=""),"",IF($I217&lt;&gt;"","Check details",IF($F217&lt;AsOf,"Overdue",IF($F217=AsOf,"Due today",IF($F217&lt;=AsOf+30,"Due in next 30 days","Later")))))</f>
        <v/>
      </c>
      <c r="H217" s="15" t="str">
        <f aca="false">IF($F217="","",$F217-AsOf)</f>
        <v/>
      </c>
      <c r="I217" s="16" t="str">
        <f aca="false">IF(AND($A217="",$B217="",$C217="",$D217="",$E217=""),"",TRIM(IF($A217="","Name missing. ","")&amp;IF($B217="","Site missing. ","")&amp;IF($D217="","Last service missing. ",IF(NOT(ISNUMBER($D217)),"Last service isn't a date. ",IF(OR($D217&lt;18264,$D217&lt;&gt;INT($D217)),"Last service isn't a valid date. ",IF($D217&gt;AsOf,"Last service is after the as-of date. ",""))))&amp;IF($E217="","Interval missing.",IF(NOT(ISNUMBER($E217)),"Interval must be a number.",IF($E217&lt;&gt;INT($E217),"Interval must be whole months.",IF(OR($E217&lt;1,$E217&gt;240),"Interval must be 1-240 months.",""))))))</f>
        <v/>
      </c>
      <c r="J217" s="17" t="str">
        <f aca="false">IF(AND($A217="",$B217="",$C217="",$D217="",$E217=""),"",IF('Due List'!$B$4="Check details",IF($G217="Check details",ROW(),""),IF('Due List'!$B$4="All records",IF($G217="Check details",ROW()/100000,$F217+ROW()/100000),IF(OR($G217="Overdue",$G217="Due today",$G217="Due in next 30 days"),$F217+ROW()/100000,""))))</f>
        <v/>
      </c>
    </row>
    <row r="218" customFormat="false" ht="15" hidden="false" customHeight="false" outlineLevel="0" collapsed="false">
      <c r="A218" s="11"/>
      <c r="B218" s="11"/>
      <c r="C218" s="11"/>
      <c r="D218" s="12"/>
      <c r="E218" s="13"/>
      <c r="F218" s="14" t="str">
        <f aca="false">IF(OR(AND($A218="",$B218="",$C218="",$D218="",$E218=""),$I218&lt;&gt;""),"",EDATE($D218,$E218))</f>
        <v/>
      </c>
      <c r="G218" s="6" t="str">
        <f aca="false">IF(AND($A218="",$B218="",$C218="",$D218="",$E218=""),"",IF($I218&lt;&gt;"","Check details",IF($F218&lt;AsOf,"Overdue",IF($F218=AsOf,"Due today",IF($F218&lt;=AsOf+30,"Due in next 30 days","Later")))))</f>
        <v/>
      </c>
      <c r="H218" s="15" t="str">
        <f aca="false">IF($F218="","",$F218-AsOf)</f>
        <v/>
      </c>
      <c r="I218" s="16" t="str">
        <f aca="false">IF(AND($A218="",$B218="",$C218="",$D218="",$E218=""),"",TRIM(IF($A218="","Name missing. ","")&amp;IF($B218="","Site missing. ","")&amp;IF($D218="","Last service missing. ",IF(NOT(ISNUMBER($D218)),"Last service isn't a date. ",IF(OR($D218&lt;18264,$D218&lt;&gt;INT($D218)),"Last service isn't a valid date. ",IF($D218&gt;AsOf,"Last service is after the as-of date. ",""))))&amp;IF($E218="","Interval missing.",IF(NOT(ISNUMBER($E218)),"Interval must be a number.",IF($E218&lt;&gt;INT($E218),"Interval must be whole months.",IF(OR($E218&lt;1,$E218&gt;240),"Interval must be 1-240 months.",""))))))</f>
        <v/>
      </c>
      <c r="J218" s="17" t="str">
        <f aca="false">IF(AND($A218="",$B218="",$C218="",$D218="",$E218=""),"",IF('Due List'!$B$4="Check details",IF($G218="Check details",ROW(),""),IF('Due List'!$B$4="All records",IF($G218="Check details",ROW()/100000,$F218+ROW()/100000),IF(OR($G218="Overdue",$G218="Due today",$G218="Due in next 30 days"),$F218+ROW()/100000,""))))</f>
        <v/>
      </c>
    </row>
    <row r="219" customFormat="false" ht="15" hidden="false" customHeight="false" outlineLevel="0" collapsed="false">
      <c r="A219" s="11"/>
      <c r="B219" s="11"/>
      <c r="C219" s="11"/>
      <c r="D219" s="12"/>
      <c r="E219" s="13"/>
      <c r="F219" s="14" t="str">
        <f aca="false">IF(OR(AND($A219="",$B219="",$C219="",$D219="",$E219=""),$I219&lt;&gt;""),"",EDATE($D219,$E219))</f>
        <v/>
      </c>
      <c r="G219" s="6" t="str">
        <f aca="false">IF(AND($A219="",$B219="",$C219="",$D219="",$E219=""),"",IF($I219&lt;&gt;"","Check details",IF($F219&lt;AsOf,"Overdue",IF($F219=AsOf,"Due today",IF($F219&lt;=AsOf+30,"Due in next 30 days","Later")))))</f>
        <v/>
      </c>
      <c r="H219" s="15" t="str">
        <f aca="false">IF($F219="","",$F219-AsOf)</f>
        <v/>
      </c>
      <c r="I219" s="16" t="str">
        <f aca="false">IF(AND($A219="",$B219="",$C219="",$D219="",$E219=""),"",TRIM(IF($A219="","Name missing. ","")&amp;IF($B219="","Site missing. ","")&amp;IF($D219="","Last service missing. ",IF(NOT(ISNUMBER($D219)),"Last service isn't a date. ",IF(OR($D219&lt;18264,$D219&lt;&gt;INT($D219)),"Last service isn't a valid date. ",IF($D219&gt;AsOf,"Last service is after the as-of date. ",""))))&amp;IF($E219="","Interval missing.",IF(NOT(ISNUMBER($E219)),"Interval must be a number.",IF($E219&lt;&gt;INT($E219),"Interval must be whole months.",IF(OR($E219&lt;1,$E219&gt;240),"Interval must be 1-240 months.",""))))))</f>
        <v/>
      </c>
      <c r="J219" s="17" t="str">
        <f aca="false">IF(AND($A219="",$B219="",$C219="",$D219="",$E219=""),"",IF('Due List'!$B$4="Check details",IF($G219="Check details",ROW(),""),IF('Due List'!$B$4="All records",IF($G219="Check details",ROW()/100000,$F219+ROW()/100000),IF(OR($G219="Overdue",$G219="Due today",$G219="Due in next 30 days"),$F219+ROW()/100000,""))))</f>
        <v/>
      </c>
    </row>
    <row r="220" customFormat="false" ht="15" hidden="false" customHeight="false" outlineLevel="0" collapsed="false">
      <c r="A220" s="11"/>
      <c r="B220" s="11"/>
      <c r="C220" s="11"/>
      <c r="D220" s="12"/>
      <c r="E220" s="13"/>
      <c r="F220" s="14" t="str">
        <f aca="false">IF(OR(AND($A220="",$B220="",$C220="",$D220="",$E220=""),$I220&lt;&gt;""),"",EDATE($D220,$E220))</f>
        <v/>
      </c>
      <c r="G220" s="6" t="str">
        <f aca="false">IF(AND($A220="",$B220="",$C220="",$D220="",$E220=""),"",IF($I220&lt;&gt;"","Check details",IF($F220&lt;AsOf,"Overdue",IF($F220=AsOf,"Due today",IF($F220&lt;=AsOf+30,"Due in next 30 days","Later")))))</f>
        <v/>
      </c>
      <c r="H220" s="15" t="str">
        <f aca="false">IF($F220="","",$F220-AsOf)</f>
        <v/>
      </c>
      <c r="I220" s="16" t="str">
        <f aca="false">IF(AND($A220="",$B220="",$C220="",$D220="",$E220=""),"",TRIM(IF($A220="","Name missing. ","")&amp;IF($B220="","Site missing. ","")&amp;IF($D220="","Last service missing. ",IF(NOT(ISNUMBER($D220)),"Last service isn't a date. ",IF(OR($D220&lt;18264,$D220&lt;&gt;INT($D220)),"Last service isn't a valid date. ",IF($D220&gt;AsOf,"Last service is after the as-of date. ",""))))&amp;IF($E220="","Interval missing.",IF(NOT(ISNUMBER($E220)),"Interval must be a number.",IF($E220&lt;&gt;INT($E220),"Interval must be whole months.",IF(OR($E220&lt;1,$E220&gt;240),"Interval must be 1-240 months.",""))))))</f>
        <v/>
      </c>
      <c r="J220" s="17" t="str">
        <f aca="false">IF(AND($A220="",$B220="",$C220="",$D220="",$E220=""),"",IF('Due List'!$B$4="Check details",IF($G220="Check details",ROW(),""),IF('Due List'!$B$4="All records",IF($G220="Check details",ROW()/100000,$F220+ROW()/100000),IF(OR($G220="Overdue",$G220="Due today",$G220="Due in next 30 days"),$F220+ROW()/100000,""))))</f>
        <v/>
      </c>
    </row>
    <row r="221" customFormat="false" ht="15" hidden="false" customHeight="false" outlineLevel="0" collapsed="false">
      <c r="A221" s="11"/>
      <c r="B221" s="11"/>
      <c r="C221" s="11"/>
      <c r="D221" s="12"/>
      <c r="E221" s="13"/>
      <c r="F221" s="14" t="str">
        <f aca="false">IF(OR(AND($A221="",$B221="",$C221="",$D221="",$E221=""),$I221&lt;&gt;""),"",EDATE($D221,$E221))</f>
        <v/>
      </c>
      <c r="G221" s="6" t="str">
        <f aca="false">IF(AND($A221="",$B221="",$C221="",$D221="",$E221=""),"",IF($I221&lt;&gt;"","Check details",IF($F221&lt;AsOf,"Overdue",IF($F221=AsOf,"Due today",IF($F221&lt;=AsOf+30,"Due in next 30 days","Later")))))</f>
        <v/>
      </c>
      <c r="H221" s="15" t="str">
        <f aca="false">IF($F221="","",$F221-AsOf)</f>
        <v/>
      </c>
      <c r="I221" s="16" t="str">
        <f aca="false">IF(AND($A221="",$B221="",$C221="",$D221="",$E221=""),"",TRIM(IF($A221="","Name missing. ","")&amp;IF($B221="","Site missing. ","")&amp;IF($D221="","Last service missing. ",IF(NOT(ISNUMBER($D221)),"Last service isn't a date. ",IF(OR($D221&lt;18264,$D221&lt;&gt;INT($D221)),"Last service isn't a valid date. ",IF($D221&gt;AsOf,"Last service is after the as-of date. ",""))))&amp;IF($E221="","Interval missing.",IF(NOT(ISNUMBER($E221)),"Interval must be a number.",IF($E221&lt;&gt;INT($E221),"Interval must be whole months.",IF(OR($E221&lt;1,$E221&gt;240),"Interval must be 1-240 months.",""))))))</f>
        <v/>
      </c>
      <c r="J221" s="17" t="str">
        <f aca="false">IF(AND($A221="",$B221="",$C221="",$D221="",$E221=""),"",IF('Due List'!$B$4="Check details",IF($G221="Check details",ROW(),""),IF('Due List'!$B$4="All records",IF($G221="Check details",ROW()/100000,$F221+ROW()/100000),IF(OR($G221="Overdue",$G221="Due today",$G221="Due in next 30 days"),$F221+ROW()/100000,""))))</f>
        <v/>
      </c>
    </row>
    <row r="222" customFormat="false" ht="15" hidden="false" customHeight="false" outlineLevel="0" collapsed="false">
      <c r="A222" s="11"/>
      <c r="B222" s="11"/>
      <c r="C222" s="11"/>
      <c r="D222" s="12"/>
      <c r="E222" s="13"/>
      <c r="F222" s="14" t="str">
        <f aca="false">IF(OR(AND($A222="",$B222="",$C222="",$D222="",$E222=""),$I222&lt;&gt;""),"",EDATE($D222,$E222))</f>
        <v/>
      </c>
      <c r="G222" s="6" t="str">
        <f aca="false">IF(AND($A222="",$B222="",$C222="",$D222="",$E222=""),"",IF($I222&lt;&gt;"","Check details",IF($F222&lt;AsOf,"Overdue",IF($F222=AsOf,"Due today",IF($F222&lt;=AsOf+30,"Due in next 30 days","Later")))))</f>
        <v/>
      </c>
      <c r="H222" s="15" t="str">
        <f aca="false">IF($F222="","",$F222-AsOf)</f>
        <v/>
      </c>
      <c r="I222" s="16" t="str">
        <f aca="false">IF(AND($A222="",$B222="",$C222="",$D222="",$E222=""),"",TRIM(IF($A222="","Name missing. ","")&amp;IF($B222="","Site missing. ","")&amp;IF($D222="","Last service missing. ",IF(NOT(ISNUMBER($D222)),"Last service isn't a date. ",IF(OR($D222&lt;18264,$D222&lt;&gt;INT($D222)),"Last service isn't a valid date. ",IF($D222&gt;AsOf,"Last service is after the as-of date. ",""))))&amp;IF($E222="","Interval missing.",IF(NOT(ISNUMBER($E222)),"Interval must be a number.",IF($E222&lt;&gt;INT($E222),"Interval must be whole months.",IF(OR($E222&lt;1,$E222&gt;240),"Interval must be 1-240 months.",""))))))</f>
        <v/>
      </c>
      <c r="J222" s="17" t="str">
        <f aca="false">IF(AND($A222="",$B222="",$C222="",$D222="",$E222=""),"",IF('Due List'!$B$4="Check details",IF($G222="Check details",ROW(),""),IF('Due List'!$B$4="All records",IF($G222="Check details",ROW()/100000,$F222+ROW()/100000),IF(OR($G222="Overdue",$G222="Due today",$G222="Due in next 30 days"),$F222+ROW()/100000,""))))</f>
        <v/>
      </c>
    </row>
    <row r="223" customFormat="false" ht="15" hidden="false" customHeight="false" outlineLevel="0" collapsed="false">
      <c r="A223" s="11"/>
      <c r="B223" s="11"/>
      <c r="C223" s="11"/>
      <c r="D223" s="12"/>
      <c r="E223" s="13"/>
      <c r="F223" s="14" t="str">
        <f aca="false">IF(OR(AND($A223="",$B223="",$C223="",$D223="",$E223=""),$I223&lt;&gt;""),"",EDATE($D223,$E223))</f>
        <v/>
      </c>
      <c r="G223" s="6" t="str">
        <f aca="false">IF(AND($A223="",$B223="",$C223="",$D223="",$E223=""),"",IF($I223&lt;&gt;"","Check details",IF($F223&lt;AsOf,"Overdue",IF($F223=AsOf,"Due today",IF($F223&lt;=AsOf+30,"Due in next 30 days","Later")))))</f>
        <v/>
      </c>
      <c r="H223" s="15" t="str">
        <f aca="false">IF($F223="","",$F223-AsOf)</f>
        <v/>
      </c>
      <c r="I223" s="16" t="str">
        <f aca="false">IF(AND($A223="",$B223="",$C223="",$D223="",$E223=""),"",TRIM(IF($A223="","Name missing. ","")&amp;IF($B223="","Site missing. ","")&amp;IF($D223="","Last service missing. ",IF(NOT(ISNUMBER($D223)),"Last service isn't a date. ",IF(OR($D223&lt;18264,$D223&lt;&gt;INT($D223)),"Last service isn't a valid date. ",IF($D223&gt;AsOf,"Last service is after the as-of date. ",""))))&amp;IF($E223="","Interval missing.",IF(NOT(ISNUMBER($E223)),"Interval must be a number.",IF($E223&lt;&gt;INT($E223),"Interval must be whole months.",IF(OR($E223&lt;1,$E223&gt;240),"Interval must be 1-240 months.",""))))))</f>
        <v/>
      </c>
      <c r="J223" s="17" t="str">
        <f aca="false">IF(AND($A223="",$B223="",$C223="",$D223="",$E223=""),"",IF('Due List'!$B$4="Check details",IF($G223="Check details",ROW(),""),IF('Due List'!$B$4="All records",IF($G223="Check details",ROW()/100000,$F223+ROW()/100000),IF(OR($G223="Overdue",$G223="Due today",$G223="Due in next 30 days"),$F223+ROW()/100000,""))))</f>
        <v/>
      </c>
    </row>
    <row r="224" customFormat="false" ht="15" hidden="false" customHeight="false" outlineLevel="0" collapsed="false">
      <c r="A224" s="11"/>
      <c r="B224" s="11"/>
      <c r="C224" s="11"/>
      <c r="D224" s="12"/>
      <c r="E224" s="13"/>
      <c r="F224" s="14" t="str">
        <f aca="false">IF(OR(AND($A224="",$B224="",$C224="",$D224="",$E224=""),$I224&lt;&gt;""),"",EDATE($D224,$E224))</f>
        <v/>
      </c>
      <c r="G224" s="6" t="str">
        <f aca="false">IF(AND($A224="",$B224="",$C224="",$D224="",$E224=""),"",IF($I224&lt;&gt;"","Check details",IF($F224&lt;AsOf,"Overdue",IF($F224=AsOf,"Due today",IF($F224&lt;=AsOf+30,"Due in next 30 days","Later")))))</f>
        <v/>
      </c>
      <c r="H224" s="15" t="str">
        <f aca="false">IF($F224="","",$F224-AsOf)</f>
        <v/>
      </c>
      <c r="I224" s="16" t="str">
        <f aca="false">IF(AND($A224="",$B224="",$C224="",$D224="",$E224=""),"",TRIM(IF($A224="","Name missing. ","")&amp;IF($B224="","Site missing. ","")&amp;IF($D224="","Last service missing. ",IF(NOT(ISNUMBER($D224)),"Last service isn't a date. ",IF(OR($D224&lt;18264,$D224&lt;&gt;INT($D224)),"Last service isn't a valid date. ",IF($D224&gt;AsOf,"Last service is after the as-of date. ",""))))&amp;IF($E224="","Interval missing.",IF(NOT(ISNUMBER($E224)),"Interval must be a number.",IF($E224&lt;&gt;INT($E224),"Interval must be whole months.",IF(OR($E224&lt;1,$E224&gt;240),"Interval must be 1-240 months.",""))))))</f>
        <v/>
      </c>
      <c r="J224" s="17" t="str">
        <f aca="false">IF(AND($A224="",$B224="",$C224="",$D224="",$E224=""),"",IF('Due List'!$B$4="Check details",IF($G224="Check details",ROW(),""),IF('Due List'!$B$4="All records",IF($G224="Check details",ROW()/100000,$F224+ROW()/100000),IF(OR($G224="Overdue",$G224="Due today",$G224="Due in next 30 days"),$F224+ROW()/100000,""))))</f>
        <v/>
      </c>
    </row>
    <row r="225" customFormat="false" ht="15" hidden="false" customHeight="false" outlineLevel="0" collapsed="false">
      <c r="A225" s="11"/>
      <c r="B225" s="11"/>
      <c r="C225" s="11"/>
      <c r="D225" s="12"/>
      <c r="E225" s="13"/>
      <c r="F225" s="14" t="str">
        <f aca="false">IF(OR(AND($A225="",$B225="",$C225="",$D225="",$E225=""),$I225&lt;&gt;""),"",EDATE($D225,$E225))</f>
        <v/>
      </c>
      <c r="G225" s="6" t="str">
        <f aca="false">IF(AND($A225="",$B225="",$C225="",$D225="",$E225=""),"",IF($I225&lt;&gt;"","Check details",IF($F225&lt;AsOf,"Overdue",IF($F225=AsOf,"Due today",IF($F225&lt;=AsOf+30,"Due in next 30 days","Later")))))</f>
        <v/>
      </c>
      <c r="H225" s="15" t="str">
        <f aca="false">IF($F225="","",$F225-AsOf)</f>
        <v/>
      </c>
      <c r="I225" s="16" t="str">
        <f aca="false">IF(AND($A225="",$B225="",$C225="",$D225="",$E225=""),"",TRIM(IF($A225="","Name missing. ","")&amp;IF($B225="","Site missing. ","")&amp;IF($D225="","Last service missing. ",IF(NOT(ISNUMBER($D225)),"Last service isn't a date. ",IF(OR($D225&lt;18264,$D225&lt;&gt;INT($D225)),"Last service isn't a valid date. ",IF($D225&gt;AsOf,"Last service is after the as-of date. ",""))))&amp;IF($E225="","Interval missing.",IF(NOT(ISNUMBER($E225)),"Interval must be a number.",IF($E225&lt;&gt;INT($E225),"Interval must be whole months.",IF(OR($E225&lt;1,$E225&gt;240),"Interval must be 1-240 months.",""))))))</f>
        <v/>
      </c>
      <c r="J225" s="17" t="str">
        <f aca="false">IF(AND($A225="",$B225="",$C225="",$D225="",$E225=""),"",IF('Due List'!$B$4="Check details",IF($G225="Check details",ROW(),""),IF('Due List'!$B$4="All records",IF($G225="Check details",ROW()/100000,$F225+ROW()/100000),IF(OR($G225="Overdue",$G225="Due today",$G225="Due in next 30 days"),$F225+ROW()/100000,""))))</f>
        <v/>
      </c>
    </row>
    <row r="226" customFormat="false" ht="15" hidden="false" customHeight="false" outlineLevel="0" collapsed="false">
      <c r="A226" s="11"/>
      <c r="B226" s="11"/>
      <c r="C226" s="11"/>
      <c r="D226" s="12"/>
      <c r="E226" s="13"/>
      <c r="F226" s="14" t="str">
        <f aca="false">IF(OR(AND($A226="",$B226="",$C226="",$D226="",$E226=""),$I226&lt;&gt;""),"",EDATE($D226,$E226))</f>
        <v/>
      </c>
      <c r="G226" s="6" t="str">
        <f aca="false">IF(AND($A226="",$B226="",$C226="",$D226="",$E226=""),"",IF($I226&lt;&gt;"","Check details",IF($F226&lt;AsOf,"Overdue",IF($F226=AsOf,"Due today",IF($F226&lt;=AsOf+30,"Due in next 30 days","Later")))))</f>
        <v/>
      </c>
      <c r="H226" s="15" t="str">
        <f aca="false">IF($F226="","",$F226-AsOf)</f>
        <v/>
      </c>
      <c r="I226" s="16" t="str">
        <f aca="false">IF(AND($A226="",$B226="",$C226="",$D226="",$E226=""),"",TRIM(IF($A226="","Name missing. ","")&amp;IF($B226="","Site missing. ","")&amp;IF($D226="","Last service missing. ",IF(NOT(ISNUMBER($D226)),"Last service isn't a date. ",IF(OR($D226&lt;18264,$D226&lt;&gt;INT($D226)),"Last service isn't a valid date. ",IF($D226&gt;AsOf,"Last service is after the as-of date. ",""))))&amp;IF($E226="","Interval missing.",IF(NOT(ISNUMBER($E226)),"Interval must be a number.",IF($E226&lt;&gt;INT($E226),"Interval must be whole months.",IF(OR($E226&lt;1,$E226&gt;240),"Interval must be 1-240 months.",""))))))</f>
        <v/>
      </c>
      <c r="J226" s="17" t="str">
        <f aca="false">IF(AND($A226="",$B226="",$C226="",$D226="",$E226=""),"",IF('Due List'!$B$4="Check details",IF($G226="Check details",ROW(),""),IF('Due List'!$B$4="All records",IF($G226="Check details",ROW()/100000,$F226+ROW()/100000),IF(OR($G226="Overdue",$G226="Due today",$G226="Due in next 30 days"),$F226+ROW()/100000,""))))</f>
        <v/>
      </c>
    </row>
    <row r="227" customFormat="false" ht="15" hidden="false" customHeight="false" outlineLevel="0" collapsed="false">
      <c r="A227" s="11"/>
      <c r="B227" s="11"/>
      <c r="C227" s="11"/>
      <c r="D227" s="12"/>
      <c r="E227" s="13"/>
      <c r="F227" s="14" t="str">
        <f aca="false">IF(OR(AND($A227="",$B227="",$C227="",$D227="",$E227=""),$I227&lt;&gt;""),"",EDATE($D227,$E227))</f>
        <v/>
      </c>
      <c r="G227" s="6" t="str">
        <f aca="false">IF(AND($A227="",$B227="",$C227="",$D227="",$E227=""),"",IF($I227&lt;&gt;"","Check details",IF($F227&lt;AsOf,"Overdue",IF($F227=AsOf,"Due today",IF($F227&lt;=AsOf+30,"Due in next 30 days","Later")))))</f>
        <v/>
      </c>
      <c r="H227" s="15" t="str">
        <f aca="false">IF($F227="","",$F227-AsOf)</f>
        <v/>
      </c>
      <c r="I227" s="16" t="str">
        <f aca="false">IF(AND($A227="",$B227="",$C227="",$D227="",$E227=""),"",TRIM(IF($A227="","Name missing. ","")&amp;IF($B227="","Site missing. ","")&amp;IF($D227="","Last service missing. ",IF(NOT(ISNUMBER($D227)),"Last service isn't a date. ",IF(OR($D227&lt;18264,$D227&lt;&gt;INT($D227)),"Last service isn't a valid date. ",IF($D227&gt;AsOf,"Last service is after the as-of date. ",""))))&amp;IF($E227="","Interval missing.",IF(NOT(ISNUMBER($E227)),"Interval must be a number.",IF($E227&lt;&gt;INT($E227),"Interval must be whole months.",IF(OR($E227&lt;1,$E227&gt;240),"Interval must be 1-240 months.",""))))))</f>
        <v/>
      </c>
      <c r="J227" s="17" t="str">
        <f aca="false">IF(AND($A227="",$B227="",$C227="",$D227="",$E227=""),"",IF('Due List'!$B$4="Check details",IF($G227="Check details",ROW(),""),IF('Due List'!$B$4="All records",IF($G227="Check details",ROW()/100000,$F227+ROW()/100000),IF(OR($G227="Overdue",$G227="Due today",$G227="Due in next 30 days"),$F227+ROW()/100000,""))))</f>
        <v/>
      </c>
    </row>
    <row r="228" customFormat="false" ht="15" hidden="false" customHeight="false" outlineLevel="0" collapsed="false">
      <c r="A228" s="11"/>
      <c r="B228" s="11"/>
      <c r="C228" s="11"/>
      <c r="D228" s="12"/>
      <c r="E228" s="13"/>
      <c r="F228" s="14" t="str">
        <f aca="false">IF(OR(AND($A228="",$B228="",$C228="",$D228="",$E228=""),$I228&lt;&gt;""),"",EDATE($D228,$E228))</f>
        <v/>
      </c>
      <c r="G228" s="6" t="str">
        <f aca="false">IF(AND($A228="",$B228="",$C228="",$D228="",$E228=""),"",IF($I228&lt;&gt;"","Check details",IF($F228&lt;AsOf,"Overdue",IF($F228=AsOf,"Due today",IF($F228&lt;=AsOf+30,"Due in next 30 days","Later")))))</f>
        <v/>
      </c>
      <c r="H228" s="15" t="str">
        <f aca="false">IF($F228="","",$F228-AsOf)</f>
        <v/>
      </c>
      <c r="I228" s="16" t="str">
        <f aca="false">IF(AND($A228="",$B228="",$C228="",$D228="",$E228=""),"",TRIM(IF($A228="","Name missing. ","")&amp;IF($B228="","Site missing. ","")&amp;IF($D228="","Last service missing. ",IF(NOT(ISNUMBER($D228)),"Last service isn't a date. ",IF(OR($D228&lt;18264,$D228&lt;&gt;INT($D228)),"Last service isn't a valid date. ",IF($D228&gt;AsOf,"Last service is after the as-of date. ",""))))&amp;IF($E228="","Interval missing.",IF(NOT(ISNUMBER($E228)),"Interval must be a number.",IF($E228&lt;&gt;INT($E228),"Interval must be whole months.",IF(OR($E228&lt;1,$E228&gt;240),"Interval must be 1-240 months.",""))))))</f>
        <v/>
      </c>
      <c r="J228" s="17" t="str">
        <f aca="false">IF(AND($A228="",$B228="",$C228="",$D228="",$E228=""),"",IF('Due List'!$B$4="Check details",IF($G228="Check details",ROW(),""),IF('Due List'!$B$4="All records",IF($G228="Check details",ROW()/100000,$F228+ROW()/100000),IF(OR($G228="Overdue",$G228="Due today",$G228="Due in next 30 days"),$F228+ROW()/100000,""))))</f>
        <v/>
      </c>
    </row>
    <row r="229" customFormat="false" ht="15" hidden="false" customHeight="false" outlineLevel="0" collapsed="false">
      <c r="A229" s="11"/>
      <c r="B229" s="11"/>
      <c r="C229" s="11"/>
      <c r="D229" s="12"/>
      <c r="E229" s="13"/>
      <c r="F229" s="14" t="str">
        <f aca="false">IF(OR(AND($A229="",$B229="",$C229="",$D229="",$E229=""),$I229&lt;&gt;""),"",EDATE($D229,$E229))</f>
        <v/>
      </c>
      <c r="G229" s="6" t="str">
        <f aca="false">IF(AND($A229="",$B229="",$C229="",$D229="",$E229=""),"",IF($I229&lt;&gt;"","Check details",IF($F229&lt;AsOf,"Overdue",IF($F229=AsOf,"Due today",IF($F229&lt;=AsOf+30,"Due in next 30 days","Later")))))</f>
        <v/>
      </c>
      <c r="H229" s="15" t="str">
        <f aca="false">IF($F229="","",$F229-AsOf)</f>
        <v/>
      </c>
      <c r="I229" s="16" t="str">
        <f aca="false">IF(AND($A229="",$B229="",$C229="",$D229="",$E229=""),"",TRIM(IF($A229="","Name missing. ","")&amp;IF($B229="","Site missing. ","")&amp;IF($D229="","Last service missing. ",IF(NOT(ISNUMBER($D229)),"Last service isn't a date. ",IF(OR($D229&lt;18264,$D229&lt;&gt;INT($D229)),"Last service isn't a valid date. ",IF($D229&gt;AsOf,"Last service is after the as-of date. ",""))))&amp;IF($E229="","Interval missing.",IF(NOT(ISNUMBER($E229)),"Interval must be a number.",IF($E229&lt;&gt;INT($E229),"Interval must be whole months.",IF(OR($E229&lt;1,$E229&gt;240),"Interval must be 1-240 months.",""))))))</f>
        <v/>
      </c>
      <c r="J229" s="17" t="str">
        <f aca="false">IF(AND($A229="",$B229="",$C229="",$D229="",$E229=""),"",IF('Due List'!$B$4="Check details",IF($G229="Check details",ROW(),""),IF('Due List'!$B$4="All records",IF($G229="Check details",ROW()/100000,$F229+ROW()/100000),IF(OR($G229="Overdue",$G229="Due today",$G229="Due in next 30 days"),$F229+ROW()/100000,""))))</f>
        <v/>
      </c>
    </row>
    <row r="230" customFormat="false" ht="15" hidden="false" customHeight="false" outlineLevel="0" collapsed="false">
      <c r="A230" s="11"/>
      <c r="B230" s="11"/>
      <c r="C230" s="11"/>
      <c r="D230" s="12"/>
      <c r="E230" s="13"/>
      <c r="F230" s="14" t="str">
        <f aca="false">IF(OR(AND($A230="",$B230="",$C230="",$D230="",$E230=""),$I230&lt;&gt;""),"",EDATE($D230,$E230))</f>
        <v/>
      </c>
      <c r="G230" s="6" t="str">
        <f aca="false">IF(AND($A230="",$B230="",$C230="",$D230="",$E230=""),"",IF($I230&lt;&gt;"","Check details",IF($F230&lt;AsOf,"Overdue",IF($F230=AsOf,"Due today",IF($F230&lt;=AsOf+30,"Due in next 30 days","Later")))))</f>
        <v/>
      </c>
      <c r="H230" s="15" t="str">
        <f aca="false">IF($F230="","",$F230-AsOf)</f>
        <v/>
      </c>
      <c r="I230" s="16" t="str">
        <f aca="false">IF(AND($A230="",$B230="",$C230="",$D230="",$E230=""),"",TRIM(IF($A230="","Name missing. ","")&amp;IF($B230="","Site missing. ","")&amp;IF($D230="","Last service missing. ",IF(NOT(ISNUMBER($D230)),"Last service isn't a date. ",IF(OR($D230&lt;18264,$D230&lt;&gt;INT($D230)),"Last service isn't a valid date. ",IF($D230&gt;AsOf,"Last service is after the as-of date. ",""))))&amp;IF($E230="","Interval missing.",IF(NOT(ISNUMBER($E230)),"Interval must be a number.",IF($E230&lt;&gt;INT($E230),"Interval must be whole months.",IF(OR($E230&lt;1,$E230&gt;240),"Interval must be 1-240 months.",""))))))</f>
        <v/>
      </c>
      <c r="J230" s="17" t="str">
        <f aca="false">IF(AND($A230="",$B230="",$C230="",$D230="",$E230=""),"",IF('Due List'!$B$4="Check details",IF($G230="Check details",ROW(),""),IF('Due List'!$B$4="All records",IF($G230="Check details",ROW()/100000,$F230+ROW()/100000),IF(OR($G230="Overdue",$G230="Due today",$G230="Due in next 30 days"),$F230+ROW()/100000,""))))</f>
        <v/>
      </c>
    </row>
    <row r="231" customFormat="false" ht="15" hidden="false" customHeight="false" outlineLevel="0" collapsed="false">
      <c r="A231" s="11"/>
      <c r="B231" s="11"/>
      <c r="C231" s="11"/>
      <c r="D231" s="12"/>
      <c r="E231" s="13"/>
      <c r="F231" s="14" t="str">
        <f aca="false">IF(OR(AND($A231="",$B231="",$C231="",$D231="",$E231=""),$I231&lt;&gt;""),"",EDATE($D231,$E231))</f>
        <v/>
      </c>
      <c r="G231" s="6" t="str">
        <f aca="false">IF(AND($A231="",$B231="",$C231="",$D231="",$E231=""),"",IF($I231&lt;&gt;"","Check details",IF($F231&lt;AsOf,"Overdue",IF($F231=AsOf,"Due today",IF($F231&lt;=AsOf+30,"Due in next 30 days","Later")))))</f>
        <v/>
      </c>
      <c r="H231" s="15" t="str">
        <f aca="false">IF($F231="","",$F231-AsOf)</f>
        <v/>
      </c>
      <c r="I231" s="16" t="str">
        <f aca="false">IF(AND($A231="",$B231="",$C231="",$D231="",$E231=""),"",TRIM(IF($A231="","Name missing. ","")&amp;IF($B231="","Site missing. ","")&amp;IF($D231="","Last service missing. ",IF(NOT(ISNUMBER($D231)),"Last service isn't a date. ",IF(OR($D231&lt;18264,$D231&lt;&gt;INT($D231)),"Last service isn't a valid date. ",IF($D231&gt;AsOf,"Last service is after the as-of date. ",""))))&amp;IF($E231="","Interval missing.",IF(NOT(ISNUMBER($E231)),"Interval must be a number.",IF($E231&lt;&gt;INT($E231),"Interval must be whole months.",IF(OR($E231&lt;1,$E231&gt;240),"Interval must be 1-240 months.",""))))))</f>
        <v/>
      </c>
      <c r="J231" s="17" t="str">
        <f aca="false">IF(AND($A231="",$B231="",$C231="",$D231="",$E231=""),"",IF('Due List'!$B$4="Check details",IF($G231="Check details",ROW(),""),IF('Due List'!$B$4="All records",IF($G231="Check details",ROW()/100000,$F231+ROW()/100000),IF(OR($G231="Overdue",$G231="Due today",$G231="Due in next 30 days"),$F231+ROW()/100000,""))))</f>
        <v/>
      </c>
    </row>
    <row r="232" customFormat="false" ht="15" hidden="false" customHeight="false" outlineLevel="0" collapsed="false">
      <c r="A232" s="11"/>
      <c r="B232" s="11"/>
      <c r="C232" s="11"/>
      <c r="D232" s="12"/>
      <c r="E232" s="13"/>
      <c r="F232" s="14" t="str">
        <f aca="false">IF(OR(AND($A232="",$B232="",$C232="",$D232="",$E232=""),$I232&lt;&gt;""),"",EDATE($D232,$E232))</f>
        <v/>
      </c>
      <c r="G232" s="6" t="str">
        <f aca="false">IF(AND($A232="",$B232="",$C232="",$D232="",$E232=""),"",IF($I232&lt;&gt;"","Check details",IF($F232&lt;AsOf,"Overdue",IF($F232=AsOf,"Due today",IF($F232&lt;=AsOf+30,"Due in next 30 days","Later")))))</f>
        <v/>
      </c>
      <c r="H232" s="15" t="str">
        <f aca="false">IF($F232="","",$F232-AsOf)</f>
        <v/>
      </c>
      <c r="I232" s="16" t="str">
        <f aca="false">IF(AND($A232="",$B232="",$C232="",$D232="",$E232=""),"",TRIM(IF($A232="","Name missing. ","")&amp;IF($B232="","Site missing. ","")&amp;IF($D232="","Last service missing. ",IF(NOT(ISNUMBER($D232)),"Last service isn't a date. ",IF(OR($D232&lt;18264,$D232&lt;&gt;INT($D232)),"Last service isn't a valid date. ",IF($D232&gt;AsOf,"Last service is after the as-of date. ",""))))&amp;IF($E232="","Interval missing.",IF(NOT(ISNUMBER($E232)),"Interval must be a number.",IF($E232&lt;&gt;INT($E232),"Interval must be whole months.",IF(OR($E232&lt;1,$E232&gt;240),"Interval must be 1-240 months.",""))))))</f>
        <v/>
      </c>
      <c r="J232" s="17" t="str">
        <f aca="false">IF(AND($A232="",$B232="",$C232="",$D232="",$E232=""),"",IF('Due List'!$B$4="Check details",IF($G232="Check details",ROW(),""),IF('Due List'!$B$4="All records",IF($G232="Check details",ROW()/100000,$F232+ROW()/100000),IF(OR($G232="Overdue",$G232="Due today",$G232="Due in next 30 days"),$F232+ROW()/100000,""))))</f>
        <v/>
      </c>
    </row>
    <row r="233" customFormat="false" ht="15" hidden="false" customHeight="false" outlineLevel="0" collapsed="false">
      <c r="A233" s="11"/>
      <c r="B233" s="11"/>
      <c r="C233" s="11"/>
      <c r="D233" s="12"/>
      <c r="E233" s="13"/>
      <c r="F233" s="14" t="str">
        <f aca="false">IF(OR(AND($A233="",$B233="",$C233="",$D233="",$E233=""),$I233&lt;&gt;""),"",EDATE($D233,$E233))</f>
        <v/>
      </c>
      <c r="G233" s="6" t="str">
        <f aca="false">IF(AND($A233="",$B233="",$C233="",$D233="",$E233=""),"",IF($I233&lt;&gt;"","Check details",IF($F233&lt;AsOf,"Overdue",IF($F233=AsOf,"Due today",IF($F233&lt;=AsOf+30,"Due in next 30 days","Later")))))</f>
        <v/>
      </c>
      <c r="H233" s="15" t="str">
        <f aca="false">IF($F233="","",$F233-AsOf)</f>
        <v/>
      </c>
      <c r="I233" s="16" t="str">
        <f aca="false">IF(AND($A233="",$B233="",$C233="",$D233="",$E233=""),"",TRIM(IF($A233="","Name missing. ","")&amp;IF($B233="","Site missing. ","")&amp;IF($D233="","Last service missing. ",IF(NOT(ISNUMBER($D233)),"Last service isn't a date. ",IF(OR($D233&lt;18264,$D233&lt;&gt;INT($D233)),"Last service isn't a valid date. ",IF($D233&gt;AsOf,"Last service is after the as-of date. ",""))))&amp;IF($E233="","Interval missing.",IF(NOT(ISNUMBER($E233)),"Interval must be a number.",IF($E233&lt;&gt;INT($E233),"Interval must be whole months.",IF(OR($E233&lt;1,$E233&gt;240),"Interval must be 1-240 months.",""))))))</f>
        <v/>
      </c>
      <c r="J233" s="17" t="str">
        <f aca="false">IF(AND($A233="",$B233="",$C233="",$D233="",$E233=""),"",IF('Due List'!$B$4="Check details",IF($G233="Check details",ROW(),""),IF('Due List'!$B$4="All records",IF($G233="Check details",ROW()/100000,$F233+ROW()/100000),IF(OR($G233="Overdue",$G233="Due today",$G233="Due in next 30 days"),$F233+ROW()/100000,""))))</f>
        <v/>
      </c>
    </row>
    <row r="234" customFormat="false" ht="15" hidden="false" customHeight="false" outlineLevel="0" collapsed="false">
      <c r="A234" s="11"/>
      <c r="B234" s="11"/>
      <c r="C234" s="11"/>
      <c r="D234" s="12"/>
      <c r="E234" s="13"/>
      <c r="F234" s="14" t="str">
        <f aca="false">IF(OR(AND($A234="",$B234="",$C234="",$D234="",$E234=""),$I234&lt;&gt;""),"",EDATE($D234,$E234))</f>
        <v/>
      </c>
      <c r="G234" s="6" t="str">
        <f aca="false">IF(AND($A234="",$B234="",$C234="",$D234="",$E234=""),"",IF($I234&lt;&gt;"","Check details",IF($F234&lt;AsOf,"Overdue",IF($F234=AsOf,"Due today",IF($F234&lt;=AsOf+30,"Due in next 30 days","Later")))))</f>
        <v/>
      </c>
      <c r="H234" s="15" t="str">
        <f aca="false">IF($F234="","",$F234-AsOf)</f>
        <v/>
      </c>
      <c r="I234" s="16" t="str">
        <f aca="false">IF(AND($A234="",$B234="",$C234="",$D234="",$E234=""),"",TRIM(IF($A234="","Name missing. ","")&amp;IF($B234="","Site missing. ","")&amp;IF($D234="","Last service missing. ",IF(NOT(ISNUMBER($D234)),"Last service isn't a date. ",IF(OR($D234&lt;18264,$D234&lt;&gt;INT($D234)),"Last service isn't a valid date. ",IF($D234&gt;AsOf,"Last service is after the as-of date. ",""))))&amp;IF($E234="","Interval missing.",IF(NOT(ISNUMBER($E234)),"Interval must be a number.",IF($E234&lt;&gt;INT($E234),"Interval must be whole months.",IF(OR($E234&lt;1,$E234&gt;240),"Interval must be 1-240 months.",""))))))</f>
        <v/>
      </c>
      <c r="J234" s="17" t="str">
        <f aca="false">IF(AND($A234="",$B234="",$C234="",$D234="",$E234=""),"",IF('Due List'!$B$4="Check details",IF($G234="Check details",ROW(),""),IF('Due List'!$B$4="All records",IF($G234="Check details",ROW()/100000,$F234+ROW()/100000),IF(OR($G234="Overdue",$G234="Due today",$G234="Due in next 30 days"),$F234+ROW()/100000,""))))</f>
        <v/>
      </c>
    </row>
    <row r="235" customFormat="false" ht="15" hidden="false" customHeight="false" outlineLevel="0" collapsed="false">
      <c r="A235" s="11"/>
      <c r="B235" s="11"/>
      <c r="C235" s="11"/>
      <c r="D235" s="12"/>
      <c r="E235" s="13"/>
      <c r="F235" s="14" t="str">
        <f aca="false">IF(OR(AND($A235="",$B235="",$C235="",$D235="",$E235=""),$I235&lt;&gt;""),"",EDATE($D235,$E235))</f>
        <v/>
      </c>
      <c r="G235" s="6" t="str">
        <f aca="false">IF(AND($A235="",$B235="",$C235="",$D235="",$E235=""),"",IF($I235&lt;&gt;"","Check details",IF($F235&lt;AsOf,"Overdue",IF($F235=AsOf,"Due today",IF($F235&lt;=AsOf+30,"Due in next 30 days","Later")))))</f>
        <v/>
      </c>
      <c r="H235" s="15" t="str">
        <f aca="false">IF($F235="","",$F235-AsOf)</f>
        <v/>
      </c>
      <c r="I235" s="16" t="str">
        <f aca="false">IF(AND($A235="",$B235="",$C235="",$D235="",$E235=""),"",TRIM(IF($A235="","Name missing. ","")&amp;IF($B235="","Site missing. ","")&amp;IF($D235="","Last service missing. ",IF(NOT(ISNUMBER($D235)),"Last service isn't a date. ",IF(OR($D235&lt;18264,$D235&lt;&gt;INT($D235)),"Last service isn't a valid date. ",IF($D235&gt;AsOf,"Last service is after the as-of date. ",""))))&amp;IF($E235="","Interval missing.",IF(NOT(ISNUMBER($E235)),"Interval must be a number.",IF($E235&lt;&gt;INT($E235),"Interval must be whole months.",IF(OR($E235&lt;1,$E235&gt;240),"Interval must be 1-240 months.",""))))))</f>
        <v/>
      </c>
      <c r="J235" s="17" t="str">
        <f aca="false">IF(AND($A235="",$B235="",$C235="",$D235="",$E235=""),"",IF('Due List'!$B$4="Check details",IF($G235="Check details",ROW(),""),IF('Due List'!$B$4="All records",IF($G235="Check details",ROW()/100000,$F235+ROW()/100000),IF(OR($G235="Overdue",$G235="Due today",$G235="Due in next 30 days"),$F235+ROW()/100000,""))))</f>
        <v/>
      </c>
    </row>
    <row r="236" customFormat="false" ht="15" hidden="false" customHeight="false" outlineLevel="0" collapsed="false">
      <c r="A236" s="11"/>
      <c r="B236" s="11"/>
      <c r="C236" s="11"/>
      <c r="D236" s="12"/>
      <c r="E236" s="13"/>
      <c r="F236" s="14" t="str">
        <f aca="false">IF(OR(AND($A236="",$B236="",$C236="",$D236="",$E236=""),$I236&lt;&gt;""),"",EDATE($D236,$E236))</f>
        <v/>
      </c>
      <c r="G236" s="6" t="str">
        <f aca="false">IF(AND($A236="",$B236="",$C236="",$D236="",$E236=""),"",IF($I236&lt;&gt;"","Check details",IF($F236&lt;AsOf,"Overdue",IF($F236=AsOf,"Due today",IF($F236&lt;=AsOf+30,"Due in next 30 days","Later")))))</f>
        <v/>
      </c>
      <c r="H236" s="15" t="str">
        <f aca="false">IF($F236="","",$F236-AsOf)</f>
        <v/>
      </c>
      <c r="I236" s="16" t="str">
        <f aca="false">IF(AND($A236="",$B236="",$C236="",$D236="",$E236=""),"",TRIM(IF($A236="","Name missing. ","")&amp;IF($B236="","Site missing. ","")&amp;IF($D236="","Last service missing. ",IF(NOT(ISNUMBER($D236)),"Last service isn't a date. ",IF(OR($D236&lt;18264,$D236&lt;&gt;INT($D236)),"Last service isn't a valid date. ",IF($D236&gt;AsOf,"Last service is after the as-of date. ",""))))&amp;IF($E236="","Interval missing.",IF(NOT(ISNUMBER($E236)),"Interval must be a number.",IF($E236&lt;&gt;INT($E236),"Interval must be whole months.",IF(OR($E236&lt;1,$E236&gt;240),"Interval must be 1-240 months.",""))))))</f>
        <v/>
      </c>
      <c r="J236" s="17" t="str">
        <f aca="false">IF(AND($A236="",$B236="",$C236="",$D236="",$E236=""),"",IF('Due List'!$B$4="Check details",IF($G236="Check details",ROW(),""),IF('Due List'!$B$4="All records",IF($G236="Check details",ROW()/100000,$F236+ROW()/100000),IF(OR($G236="Overdue",$G236="Due today",$G236="Due in next 30 days"),$F236+ROW()/100000,""))))</f>
        <v/>
      </c>
    </row>
    <row r="237" customFormat="false" ht="15" hidden="false" customHeight="false" outlineLevel="0" collapsed="false">
      <c r="A237" s="11"/>
      <c r="B237" s="11"/>
      <c r="C237" s="11"/>
      <c r="D237" s="12"/>
      <c r="E237" s="13"/>
      <c r="F237" s="14" t="str">
        <f aca="false">IF(OR(AND($A237="",$B237="",$C237="",$D237="",$E237=""),$I237&lt;&gt;""),"",EDATE($D237,$E237))</f>
        <v/>
      </c>
      <c r="G237" s="6" t="str">
        <f aca="false">IF(AND($A237="",$B237="",$C237="",$D237="",$E237=""),"",IF($I237&lt;&gt;"","Check details",IF($F237&lt;AsOf,"Overdue",IF($F237=AsOf,"Due today",IF($F237&lt;=AsOf+30,"Due in next 30 days","Later")))))</f>
        <v/>
      </c>
      <c r="H237" s="15" t="str">
        <f aca="false">IF($F237="","",$F237-AsOf)</f>
        <v/>
      </c>
      <c r="I237" s="16" t="str">
        <f aca="false">IF(AND($A237="",$B237="",$C237="",$D237="",$E237=""),"",TRIM(IF($A237="","Name missing. ","")&amp;IF($B237="","Site missing. ","")&amp;IF($D237="","Last service missing. ",IF(NOT(ISNUMBER($D237)),"Last service isn't a date. ",IF(OR($D237&lt;18264,$D237&lt;&gt;INT($D237)),"Last service isn't a valid date. ",IF($D237&gt;AsOf,"Last service is after the as-of date. ",""))))&amp;IF($E237="","Interval missing.",IF(NOT(ISNUMBER($E237)),"Interval must be a number.",IF($E237&lt;&gt;INT($E237),"Interval must be whole months.",IF(OR($E237&lt;1,$E237&gt;240),"Interval must be 1-240 months.",""))))))</f>
        <v/>
      </c>
      <c r="J237" s="17" t="str">
        <f aca="false">IF(AND($A237="",$B237="",$C237="",$D237="",$E237=""),"",IF('Due List'!$B$4="Check details",IF($G237="Check details",ROW(),""),IF('Due List'!$B$4="All records",IF($G237="Check details",ROW()/100000,$F237+ROW()/100000),IF(OR($G237="Overdue",$G237="Due today",$G237="Due in next 30 days"),$F237+ROW()/100000,""))))</f>
        <v/>
      </c>
    </row>
    <row r="238" customFormat="false" ht="15" hidden="false" customHeight="false" outlineLevel="0" collapsed="false">
      <c r="A238" s="11"/>
      <c r="B238" s="11"/>
      <c r="C238" s="11"/>
      <c r="D238" s="12"/>
      <c r="E238" s="13"/>
      <c r="F238" s="14" t="str">
        <f aca="false">IF(OR(AND($A238="",$B238="",$C238="",$D238="",$E238=""),$I238&lt;&gt;""),"",EDATE($D238,$E238))</f>
        <v/>
      </c>
      <c r="G238" s="6" t="str">
        <f aca="false">IF(AND($A238="",$B238="",$C238="",$D238="",$E238=""),"",IF($I238&lt;&gt;"","Check details",IF($F238&lt;AsOf,"Overdue",IF($F238=AsOf,"Due today",IF($F238&lt;=AsOf+30,"Due in next 30 days","Later")))))</f>
        <v/>
      </c>
      <c r="H238" s="15" t="str">
        <f aca="false">IF($F238="","",$F238-AsOf)</f>
        <v/>
      </c>
      <c r="I238" s="16" t="str">
        <f aca="false">IF(AND($A238="",$B238="",$C238="",$D238="",$E238=""),"",TRIM(IF($A238="","Name missing. ","")&amp;IF($B238="","Site missing. ","")&amp;IF($D238="","Last service missing. ",IF(NOT(ISNUMBER($D238)),"Last service isn't a date. ",IF(OR($D238&lt;18264,$D238&lt;&gt;INT($D238)),"Last service isn't a valid date. ",IF($D238&gt;AsOf,"Last service is after the as-of date. ",""))))&amp;IF($E238="","Interval missing.",IF(NOT(ISNUMBER($E238)),"Interval must be a number.",IF($E238&lt;&gt;INT($E238),"Interval must be whole months.",IF(OR($E238&lt;1,$E238&gt;240),"Interval must be 1-240 months.",""))))))</f>
        <v/>
      </c>
      <c r="J238" s="17" t="str">
        <f aca="false">IF(AND($A238="",$B238="",$C238="",$D238="",$E238=""),"",IF('Due List'!$B$4="Check details",IF($G238="Check details",ROW(),""),IF('Due List'!$B$4="All records",IF($G238="Check details",ROW()/100000,$F238+ROW()/100000),IF(OR($G238="Overdue",$G238="Due today",$G238="Due in next 30 days"),$F238+ROW()/100000,""))))</f>
        <v/>
      </c>
    </row>
    <row r="239" customFormat="false" ht="15" hidden="false" customHeight="false" outlineLevel="0" collapsed="false">
      <c r="A239" s="11"/>
      <c r="B239" s="11"/>
      <c r="C239" s="11"/>
      <c r="D239" s="12"/>
      <c r="E239" s="13"/>
      <c r="F239" s="14" t="str">
        <f aca="false">IF(OR(AND($A239="",$B239="",$C239="",$D239="",$E239=""),$I239&lt;&gt;""),"",EDATE($D239,$E239))</f>
        <v/>
      </c>
      <c r="G239" s="6" t="str">
        <f aca="false">IF(AND($A239="",$B239="",$C239="",$D239="",$E239=""),"",IF($I239&lt;&gt;"","Check details",IF($F239&lt;AsOf,"Overdue",IF($F239=AsOf,"Due today",IF($F239&lt;=AsOf+30,"Due in next 30 days","Later")))))</f>
        <v/>
      </c>
      <c r="H239" s="15" t="str">
        <f aca="false">IF($F239="","",$F239-AsOf)</f>
        <v/>
      </c>
      <c r="I239" s="16" t="str">
        <f aca="false">IF(AND($A239="",$B239="",$C239="",$D239="",$E239=""),"",TRIM(IF($A239="","Name missing. ","")&amp;IF($B239="","Site missing. ","")&amp;IF($D239="","Last service missing. ",IF(NOT(ISNUMBER($D239)),"Last service isn't a date. ",IF(OR($D239&lt;18264,$D239&lt;&gt;INT($D239)),"Last service isn't a valid date. ",IF($D239&gt;AsOf,"Last service is after the as-of date. ",""))))&amp;IF($E239="","Interval missing.",IF(NOT(ISNUMBER($E239)),"Interval must be a number.",IF($E239&lt;&gt;INT($E239),"Interval must be whole months.",IF(OR($E239&lt;1,$E239&gt;240),"Interval must be 1-240 months.",""))))))</f>
        <v/>
      </c>
      <c r="J239" s="17" t="str">
        <f aca="false">IF(AND($A239="",$B239="",$C239="",$D239="",$E239=""),"",IF('Due List'!$B$4="Check details",IF($G239="Check details",ROW(),""),IF('Due List'!$B$4="All records",IF($G239="Check details",ROW()/100000,$F239+ROW()/100000),IF(OR($G239="Overdue",$G239="Due today",$G239="Due in next 30 days"),$F239+ROW()/100000,""))))</f>
        <v/>
      </c>
    </row>
    <row r="240" customFormat="false" ht="15" hidden="false" customHeight="false" outlineLevel="0" collapsed="false">
      <c r="A240" s="11"/>
      <c r="B240" s="11"/>
      <c r="C240" s="11"/>
      <c r="D240" s="12"/>
      <c r="E240" s="13"/>
      <c r="F240" s="14" t="str">
        <f aca="false">IF(OR(AND($A240="",$B240="",$C240="",$D240="",$E240=""),$I240&lt;&gt;""),"",EDATE($D240,$E240))</f>
        <v/>
      </c>
      <c r="G240" s="6" t="str">
        <f aca="false">IF(AND($A240="",$B240="",$C240="",$D240="",$E240=""),"",IF($I240&lt;&gt;"","Check details",IF($F240&lt;AsOf,"Overdue",IF($F240=AsOf,"Due today",IF($F240&lt;=AsOf+30,"Due in next 30 days","Later")))))</f>
        <v/>
      </c>
      <c r="H240" s="15" t="str">
        <f aca="false">IF($F240="","",$F240-AsOf)</f>
        <v/>
      </c>
      <c r="I240" s="16" t="str">
        <f aca="false">IF(AND($A240="",$B240="",$C240="",$D240="",$E240=""),"",TRIM(IF($A240="","Name missing. ","")&amp;IF($B240="","Site missing. ","")&amp;IF($D240="","Last service missing. ",IF(NOT(ISNUMBER($D240)),"Last service isn't a date. ",IF(OR($D240&lt;18264,$D240&lt;&gt;INT($D240)),"Last service isn't a valid date. ",IF($D240&gt;AsOf,"Last service is after the as-of date. ",""))))&amp;IF($E240="","Interval missing.",IF(NOT(ISNUMBER($E240)),"Interval must be a number.",IF($E240&lt;&gt;INT($E240),"Interval must be whole months.",IF(OR($E240&lt;1,$E240&gt;240),"Interval must be 1-240 months.",""))))))</f>
        <v/>
      </c>
      <c r="J240" s="17" t="str">
        <f aca="false">IF(AND($A240="",$B240="",$C240="",$D240="",$E240=""),"",IF('Due List'!$B$4="Check details",IF($G240="Check details",ROW(),""),IF('Due List'!$B$4="All records",IF($G240="Check details",ROW()/100000,$F240+ROW()/100000),IF(OR($G240="Overdue",$G240="Due today",$G240="Due in next 30 days"),$F240+ROW()/100000,""))))</f>
        <v/>
      </c>
    </row>
    <row r="241" customFormat="false" ht="15" hidden="false" customHeight="false" outlineLevel="0" collapsed="false">
      <c r="A241" s="11"/>
      <c r="B241" s="11"/>
      <c r="C241" s="11"/>
      <c r="D241" s="12"/>
      <c r="E241" s="13"/>
      <c r="F241" s="14" t="str">
        <f aca="false">IF(OR(AND($A241="",$B241="",$C241="",$D241="",$E241=""),$I241&lt;&gt;""),"",EDATE($D241,$E241))</f>
        <v/>
      </c>
      <c r="G241" s="6" t="str">
        <f aca="false">IF(AND($A241="",$B241="",$C241="",$D241="",$E241=""),"",IF($I241&lt;&gt;"","Check details",IF($F241&lt;AsOf,"Overdue",IF($F241=AsOf,"Due today",IF($F241&lt;=AsOf+30,"Due in next 30 days","Later")))))</f>
        <v/>
      </c>
      <c r="H241" s="15" t="str">
        <f aca="false">IF($F241="","",$F241-AsOf)</f>
        <v/>
      </c>
      <c r="I241" s="16" t="str">
        <f aca="false">IF(AND($A241="",$B241="",$C241="",$D241="",$E241=""),"",TRIM(IF($A241="","Name missing. ","")&amp;IF($B241="","Site missing. ","")&amp;IF($D241="","Last service missing. ",IF(NOT(ISNUMBER($D241)),"Last service isn't a date. ",IF(OR($D241&lt;18264,$D241&lt;&gt;INT($D241)),"Last service isn't a valid date. ",IF($D241&gt;AsOf,"Last service is after the as-of date. ",""))))&amp;IF($E241="","Interval missing.",IF(NOT(ISNUMBER($E241)),"Interval must be a number.",IF($E241&lt;&gt;INT($E241),"Interval must be whole months.",IF(OR($E241&lt;1,$E241&gt;240),"Interval must be 1-240 months.",""))))))</f>
        <v/>
      </c>
      <c r="J241" s="17" t="str">
        <f aca="false">IF(AND($A241="",$B241="",$C241="",$D241="",$E241=""),"",IF('Due List'!$B$4="Check details",IF($G241="Check details",ROW(),""),IF('Due List'!$B$4="All records",IF($G241="Check details",ROW()/100000,$F241+ROW()/100000),IF(OR($G241="Overdue",$G241="Due today",$G241="Due in next 30 days"),$F241+ROW()/100000,""))))</f>
        <v/>
      </c>
    </row>
    <row r="242" customFormat="false" ht="15" hidden="false" customHeight="false" outlineLevel="0" collapsed="false">
      <c r="A242" s="11"/>
      <c r="B242" s="11"/>
      <c r="C242" s="11"/>
      <c r="D242" s="12"/>
      <c r="E242" s="13"/>
      <c r="F242" s="14" t="str">
        <f aca="false">IF(OR(AND($A242="",$B242="",$C242="",$D242="",$E242=""),$I242&lt;&gt;""),"",EDATE($D242,$E242))</f>
        <v/>
      </c>
      <c r="G242" s="6" t="str">
        <f aca="false">IF(AND($A242="",$B242="",$C242="",$D242="",$E242=""),"",IF($I242&lt;&gt;"","Check details",IF($F242&lt;AsOf,"Overdue",IF($F242=AsOf,"Due today",IF($F242&lt;=AsOf+30,"Due in next 30 days","Later")))))</f>
        <v/>
      </c>
      <c r="H242" s="15" t="str">
        <f aca="false">IF($F242="","",$F242-AsOf)</f>
        <v/>
      </c>
      <c r="I242" s="16" t="str">
        <f aca="false">IF(AND($A242="",$B242="",$C242="",$D242="",$E242=""),"",TRIM(IF($A242="","Name missing. ","")&amp;IF($B242="","Site missing. ","")&amp;IF($D242="","Last service missing. ",IF(NOT(ISNUMBER($D242)),"Last service isn't a date. ",IF(OR($D242&lt;18264,$D242&lt;&gt;INT($D242)),"Last service isn't a valid date. ",IF($D242&gt;AsOf,"Last service is after the as-of date. ",""))))&amp;IF($E242="","Interval missing.",IF(NOT(ISNUMBER($E242)),"Interval must be a number.",IF($E242&lt;&gt;INT($E242),"Interval must be whole months.",IF(OR($E242&lt;1,$E242&gt;240),"Interval must be 1-240 months.",""))))))</f>
        <v/>
      </c>
      <c r="J242" s="17" t="str">
        <f aca="false">IF(AND($A242="",$B242="",$C242="",$D242="",$E242=""),"",IF('Due List'!$B$4="Check details",IF($G242="Check details",ROW(),""),IF('Due List'!$B$4="All records",IF($G242="Check details",ROW()/100000,$F242+ROW()/100000),IF(OR($G242="Overdue",$G242="Due today",$G242="Due in next 30 days"),$F242+ROW()/100000,""))))</f>
        <v/>
      </c>
    </row>
    <row r="243" customFormat="false" ht="15" hidden="false" customHeight="false" outlineLevel="0" collapsed="false">
      <c r="A243" s="11"/>
      <c r="B243" s="11"/>
      <c r="C243" s="11"/>
      <c r="D243" s="12"/>
      <c r="E243" s="13"/>
      <c r="F243" s="14" t="str">
        <f aca="false">IF(OR(AND($A243="",$B243="",$C243="",$D243="",$E243=""),$I243&lt;&gt;""),"",EDATE($D243,$E243))</f>
        <v/>
      </c>
      <c r="G243" s="6" t="str">
        <f aca="false">IF(AND($A243="",$B243="",$C243="",$D243="",$E243=""),"",IF($I243&lt;&gt;"","Check details",IF($F243&lt;AsOf,"Overdue",IF($F243=AsOf,"Due today",IF($F243&lt;=AsOf+30,"Due in next 30 days","Later")))))</f>
        <v/>
      </c>
      <c r="H243" s="15" t="str">
        <f aca="false">IF($F243="","",$F243-AsOf)</f>
        <v/>
      </c>
      <c r="I243" s="16" t="str">
        <f aca="false">IF(AND($A243="",$B243="",$C243="",$D243="",$E243=""),"",TRIM(IF($A243="","Name missing. ","")&amp;IF($B243="","Site missing. ","")&amp;IF($D243="","Last service missing. ",IF(NOT(ISNUMBER($D243)),"Last service isn't a date. ",IF(OR($D243&lt;18264,$D243&lt;&gt;INT($D243)),"Last service isn't a valid date. ",IF($D243&gt;AsOf,"Last service is after the as-of date. ",""))))&amp;IF($E243="","Interval missing.",IF(NOT(ISNUMBER($E243)),"Interval must be a number.",IF($E243&lt;&gt;INT($E243),"Interval must be whole months.",IF(OR($E243&lt;1,$E243&gt;240),"Interval must be 1-240 months.",""))))))</f>
        <v/>
      </c>
      <c r="J243" s="17" t="str">
        <f aca="false">IF(AND($A243="",$B243="",$C243="",$D243="",$E243=""),"",IF('Due List'!$B$4="Check details",IF($G243="Check details",ROW(),""),IF('Due List'!$B$4="All records",IF($G243="Check details",ROW()/100000,$F243+ROW()/100000),IF(OR($G243="Overdue",$G243="Due today",$G243="Due in next 30 days"),$F243+ROW()/100000,""))))</f>
        <v/>
      </c>
    </row>
    <row r="244" customFormat="false" ht="15" hidden="false" customHeight="false" outlineLevel="0" collapsed="false">
      <c r="A244" s="11"/>
      <c r="B244" s="11"/>
      <c r="C244" s="11"/>
      <c r="D244" s="12"/>
      <c r="E244" s="13"/>
      <c r="F244" s="14" t="str">
        <f aca="false">IF(OR(AND($A244="",$B244="",$C244="",$D244="",$E244=""),$I244&lt;&gt;""),"",EDATE($D244,$E244))</f>
        <v/>
      </c>
      <c r="G244" s="6" t="str">
        <f aca="false">IF(AND($A244="",$B244="",$C244="",$D244="",$E244=""),"",IF($I244&lt;&gt;"","Check details",IF($F244&lt;AsOf,"Overdue",IF($F244=AsOf,"Due today",IF($F244&lt;=AsOf+30,"Due in next 30 days","Later")))))</f>
        <v/>
      </c>
      <c r="H244" s="15" t="str">
        <f aca="false">IF($F244="","",$F244-AsOf)</f>
        <v/>
      </c>
      <c r="I244" s="16" t="str">
        <f aca="false">IF(AND($A244="",$B244="",$C244="",$D244="",$E244=""),"",TRIM(IF($A244="","Name missing. ","")&amp;IF($B244="","Site missing. ","")&amp;IF($D244="","Last service missing. ",IF(NOT(ISNUMBER($D244)),"Last service isn't a date. ",IF(OR($D244&lt;18264,$D244&lt;&gt;INT($D244)),"Last service isn't a valid date. ",IF($D244&gt;AsOf,"Last service is after the as-of date. ",""))))&amp;IF($E244="","Interval missing.",IF(NOT(ISNUMBER($E244)),"Interval must be a number.",IF($E244&lt;&gt;INT($E244),"Interval must be whole months.",IF(OR($E244&lt;1,$E244&gt;240),"Interval must be 1-240 months.",""))))))</f>
        <v/>
      </c>
      <c r="J244" s="17" t="str">
        <f aca="false">IF(AND($A244="",$B244="",$C244="",$D244="",$E244=""),"",IF('Due List'!$B$4="Check details",IF($G244="Check details",ROW(),""),IF('Due List'!$B$4="All records",IF($G244="Check details",ROW()/100000,$F244+ROW()/100000),IF(OR($G244="Overdue",$G244="Due today",$G244="Due in next 30 days"),$F244+ROW()/100000,""))))</f>
        <v/>
      </c>
    </row>
    <row r="245" customFormat="false" ht="15" hidden="false" customHeight="false" outlineLevel="0" collapsed="false">
      <c r="A245" s="11"/>
      <c r="B245" s="11"/>
      <c r="C245" s="11"/>
      <c r="D245" s="12"/>
      <c r="E245" s="13"/>
      <c r="F245" s="14" t="str">
        <f aca="false">IF(OR(AND($A245="",$B245="",$C245="",$D245="",$E245=""),$I245&lt;&gt;""),"",EDATE($D245,$E245))</f>
        <v/>
      </c>
      <c r="G245" s="6" t="str">
        <f aca="false">IF(AND($A245="",$B245="",$C245="",$D245="",$E245=""),"",IF($I245&lt;&gt;"","Check details",IF($F245&lt;AsOf,"Overdue",IF($F245=AsOf,"Due today",IF($F245&lt;=AsOf+30,"Due in next 30 days","Later")))))</f>
        <v/>
      </c>
      <c r="H245" s="15" t="str">
        <f aca="false">IF($F245="","",$F245-AsOf)</f>
        <v/>
      </c>
      <c r="I245" s="16" t="str">
        <f aca="false">IF(AND($A245="",$B245="",$C245="",$D245="",$E245=""),"",TRIM(IF($A245="","Name missing. ","")&amp;IF($B245="","Site missing. ","")&amp;IF($D245="","Last service missing. ",IF(NOT(ISNUMBER($D245)),"Last service isn't a date. ",IF(OR($D245&lt;18264,$D245&lt;&gt;INT($D245)),"Last service isn't a valid date. ",IF($D245&gt;AsOf,"Last service is after the as-of date. ",""))))&amp;IF($E245="","Interval missing.",IF(NOT(ISNUMBER($E245)),"Interval must be a number.",IF($E245&lt;&gt;INT($E245),"Interval must be whole months.",IF(OR($E245&lt;1,$E245&gt;240),"Interval must be 1-240 months.",""))))))</f>
        <v/>
      </c>
      <c r="J245" s="17" t="str">
        <f aca="false">IF(AND($A245="",$B245="",$C245="",$D245="",$E245=""),"",IF('Due List'!$B$4="Check details",IF($G245="Check details",ROW(),""),IF('Due List'!$B$4="All records",IF($G245="Check details",ROW()/100000,$F245+ROW()/100000),IF(OR($G245="Overdue",$G245="Due today",$G245="Due in next 30 days"),$F245+ROW()/100000,""))))</f>
        <v/>
      </c>
    </row>
    <row r="246" customFormat="false" ht="15" hidden="false" customHeight="false" outlineLevel="0" collapsed="false">
      <c r="A246" s="11"/>
      <c r="B246" s="11"/>
      <c r="C246" s="11"/>
      <c r="D246" s="12"/>
      <c r="E246" s="13"/>
      <c r="F246" s="14" t="str">
        <f aca="false">IF(OR(AND($A246="",$B246="",$C246="",$D246="",$E246=""),$I246&lt;&gt;""),"",EDATE($D246,$E246))</f>
        <v/>
      </c>
      <c r="G246" s="6" t="str">
        <f aca="false">IF(AND($A246="",$B246="",$C246="",$D246="",$E246=""),"",IF($I246&lt;&gt;"","Check details",IF($F246&lt;AsOf,"Overdue",IF($F246=AsOf,"Due today",IF($F246&lt;=AsOf+30,"Due in next 30 days","Later")))))</f>
        <v/>
      </c>
      <c r="H246" s="15" t="str">
        <f aca="false">IF($F246="","",$F246-AsOf)</f>
        <v/>
      </c>
      <c r="I246" s="16" t="str">
        <f aca="false">IF(AND($A246="",$B246="",$C246="",$D246="",$E246=""),"",TRIM(IF($A246="","Name missing. ","")&amp;IF($B246="","Site missing. ","")&amp;IF($D246="","Last service missing. ",IF(NOT(ISNUMBER($D246)),"Last service isn't a date. ",IF(OR($D246&lt;18264,$D246&lt;&gt;INT($D246)),"Last service isn't a valid date. ",IF($D246&gt;AsOf,"Last service is after the as-of date. ",""))))&amp;IF($E246="","Interval missing.",IF(NOT(ISNUMBER($E246)),"Interval must be a number.",IF($E246&lt;&gt;INT($E246),"Interval must be whole months.",IF(OR($E246&lt;1,$E246&gt;240),"Interval must be 1-240 months.",""))))))</f>
        <v/>
      </c>
      <c r="J246" s="17" t="str">
        <f aca="false">IF(AND($A246="",$B246="",$C246="",$D246="",$E246=""),"",IF('Due List'!$B$4="Check details",IF($G246="Check details",ROW(),""),IF('Due List'!$B$4="All records",IF($G246="Check details",ROW()/100000,$F246+ROW()/100000),IF(OR($G246="Overdue",$G246="Due today",$G246="Due in next 30 days"),$F246+ROW()/100000,""))))</f>
        <v/>
      </c>
    </row>
    <row r="247" customFormat="false" ht="15" hidden="false" customHeight="false" outlineLevel="0" collapsed="false">
      <c r="A247" s="11"/>
      <c r="B247" s="11"/>
      <c r="C247" s="11"/>
      <c r="D247" s="12"/>
      <c r="E247" s="13"/>
      <c r="F247" s="14" t="str">
        <f aca="false">IF(OR(AND($A247="",$B247="",$C247="",$D247="",$E247=""),$I247&lt;&gt;""),"",EDATE($D247,$E247))</f>
        <v/>
      </c>
      <c r="G247" s="6" t="str">
        <f aca="false">IF(AND($A247="",$B247="",$C247="",$D247="",$E247=""),"",IF($I247&lt;&gt;"","Check details",IF($F247&lt;AsOf,"Overdue",IF($F247=AsOf,"Due today",IF($F247&lt;=AsOf+30,"Due in next 30 days","Later")))))</f>
        <v/>
      </c>
      <c r="H247" s="15" t="str">
        <f aca="false">IF($F247="","",$F247-AsOf)</f>
        <v/>
      </c>
      <c r="I247" s="16" t="str">
        <f aca="false">IF(AND($A247="",$B247="",$C247="",$D247="",$E247=""),"",TRIM(IF($A247="","Name missing. ","")&amp;IF($B247="","Site missing. ","")&amp;IF($D247="","Last service missing. ",IF(NOT(ISNUMBER($D247)),"Last service isn't a date. ",IF(OR($D247&lt;18264,$D247&lt;&gt;INT($D247)),"Last service isn't a valid date. ",IF($D247&gt;AsOf,"Last service is after the as-of date. ",""))))&amp;IF($E247="","Interval missing.",IF(NOT(ISNUMBER($E247)),"Interval must be a number.",IF($E247&lt;&gt;INT($E247),"Interval must be whole months.",IF(OR($E247&lt;1,$E247&gt;240),"Interval must be 1-240 months.",""))))))</f>
        <v/>
      </c>
      <c r="J247" s="17" t="str">
        <f aca="false">IF(AND($A247="",$B247="",$C247="",$D247="",$E247=""),"",IF('Due List'!$B$4="Check details",IF($G247="Check details",ROW(),""),IF('Due List'!$B$4="All records",IF($G247="Check details",ROW()/100000,$F247+ROW()/100000),IF(OR($G247="Overdue",$G247="Due today",$G247="Due in next 30 days"),$F247+ROW()/100000,""))))</f>
        <v/>
      </c>
    </row>
    <row r="248" customFormat="false" ht="15" hidden="false" customHeight="false" outlineLevel="0" collapsed="false">
      <c r="A248" s="11"/>
      <c r="B248" s="11"/>
      <c r="C248" s="11"/>
      <c r="D248" s="12"/>
      <c r="E248" s="13"/>
      <c r="F248" s="14" t="str">
        <f aca="false">IF(OR(AND($A248="",$B248="",$C248="",$D248="",$E248=""),$I248&lt;&gt;""),"",EDATE($D248,$E248))</f>
        <v/>
      </c>
      <c r="G248" s="6" t="str">
        <f aca="false">IF(AND($A248="",$B248="",$C248="",$D248="",$E248=""),"",IF($I248&lt;&gt;"","Check details",IF($F248&lt;AsOf,"Overdue",IF($F248=AsOf,"Due today",IF($F248&lt;=AsOf+30,"Due in next 30 days","Later")))))</f>
        <v/>
      </c>
      <c r="H248" s="15" t="str">
        <f aca="false">IF($F248="","",$F248-AsOf)</f>
        <v/>
      </c>
      <c r="I248" s="16" t="str">
        <f aca="false">IF(AND($A248="",$B248="",$C248="",$D248="",$E248=""),"",TRIM(IF($A248="","Name missing. ","")&amp;IF($B248="","Site missing. ","")&amp;IF($D248="","Last service missing. ",IF(NOT(ISNUMBER($D248)),"Last service isn't a date. ",IF(OR($D248&lt;18264,$D248&lt;&gt;INT($D248)),"Last service isn't a valid date. ",IF($D248&gt;AsOf,"Last service is after the as-of date. ",""))))&amp;IF($E248="","Interval missing.",IF(NOT(ISNUMBER($E248)),"Interval must be a number.",IF($E248&lt;&gt;INT($E248),"Interval must be whole months.",IF(OR($E248&lt;1,$E248&gt;240),"Interval must be 1-240 months.",""))))))</f>
        <v/>
      </c>
      <c r="J248" s="17" t="str">
        <f aca="false">IF(AND($A248="",$B248="",$C248="",$D248="",$E248=""),"",IF('Due List'!$B$4="Check details",IF($G248="Check details",ROW(),""),IF('Due List'!$B$4="All records",IF($G248="Check details",ROW()/100000,$F248+ROW()/100000),IF(OR($G248="Overdue",$G248="Due today",$G248="Due in next 30 days"),$F248+ROW()/100000,""))))</f>
        <v/>
      </c>
    </row>
    <row r="249" customFormat="false" ht="15" hidden="false" customHeight="false" outlineLevel="0" collapsed="false">
      <c r="A249" s="11"/>
      <c r="B249" s="11"/>
      <c r="C249" s="11"/>
      <c r="D249" s="12"/>
      <c r="E249" s="13"/>
      <c r="F249" s="14" t="str">
        <f aca="false">IF(OR(AND($A249="",$B249="",$C249="",$D249="",$E249=""),$I249&lt;&gt;""),"",EDATE($D249,$E249))</f>
        <v/>
      </c>
      <c r="G249" s="6" t="str">
        <f aca="false">IF(AND($A249="",$B249="",$C249="",$D249="",$E249=""),"",IF($I249&lt;&gt;"","Check details",IF($F249&lt;AsOf,"Overdue",IF($F249=AsOf,"Due today",IF($F249&lt;=AsOf+30,"Due in next 30 days","Later")))))</f>
        <v/>
      </c>
      <c r="H249" s="15" t="str">
        <f aca="false">IF($F249="","",$F249-AsOf)</f>
        <v/>
      </c>
      <c r="I249" s="16" t="str">
        <f aca="false">IF(AND($A249="",$B249="",$C249="",$D249="",$E249=""),"",TRIM(IF($A249="","Name missing. ","")&amp;IF($B249="","Site missing. ","")&amp;IF($D249="","Last service missing. ",IF(NOT(ISNUMBER($D249)),"Last service isn't a date. ",IF(OR($D249&lt;18264,$D249&lt;&gt;INT($D249)),"Last service isn't a valid date. ",IF($D249&gt;AsOf,"Last service is after the as-of date. ",""))))&amp;IF($E249="","Interval missing.",IF(NOT(ISNUMBER($E249)),"Interval must be a number.",IF($E249&lt;&gt;INT($E249),"Interval must be whole months.",IF(OR($E249&lt;1,$E249&gt;240),"Interval must be 1-240 months.",""))))))</f>
        <v/>
      </c>
      <c r="J249" s="17" t="str">
        <f aca="false">IF(AND($A249="",$B249="",$C249="",$D249="",$E249=""),"",IF('Due List'!$B$4="Check details",IF($G249="Check details",ROW(),""),IF('Due List'!$B$4="All records",IF($G249="Check details",ROW()/100000,$F249+ROW()/100000),IF(OR($G249="Overdue",$G249="Due today",$G249="Due in next 30 days"),$F249+ROW()/100000,""))))</f>
        <v/>
      </c>
    </row>
    <row r="250" customFormat="false" ht="15" hidden="false" customHeight="false" outlineLevel="0" collapsed="false">
      <c r="A250" s="11"/>
      <c r="B250" s="11"/>
      <c r="C250" s="11"/>
      <c r="D250" s="12"/>
      <c r="E250" s="13"/>
      <c r="F250" s="14" t="str">
        <f aca="false">IF(OR(AND($A250="",$B250="",$C250="",$D250="",$E250=""),$I250&lt;&gt;""),"",EDATE($D250,$E250))</f>
        <v/>
      </c>
      <c r="G250" s="6" t="str">
        <f aca="false">IF(AND($A250="",$B250="",$C250="",$D250="",$E250=""),"",IF($I250&lt;&gt;"","Check details",IF($F250&lt;AsOf,"Overdue",IF($F250=AsOf,"Due today",IF($F250&lt;=AsOf+30,"Due in next 30 days","Later")))))</f>
        <v/>
      </c>
      <c r="H250" s="15" t="str">
        <f aca="false">IF($F250="","",$F250-AsOf)</f>
        <v/>
      </c>
      <c r="I250" s="16" t="str">
        <f aca="false">IF(AND($A250="",$B250="",$C250="",$D250="",$E250=""),"",TRIM(IF($A250="","Name missing. ","")&amp;IF($B250="","Site missing. ","")&amp;IF($D250="","Last service missing. ",IF(NOT(ISNUMBER($D250)),"Last service isn't a date. ",IF(OR($D250&lt;18264,$D250&lt;&gt;INT($D250)),"Last service isn't a valid date. ",IF($D250&gt;AsOf,"Last service is after the as-of date. ",""))))&amp;IF($E250="","Interval missing.",IF(NOT(ISNUMBER($E250)),"Interval must be a number.",IF($E250&lt;&gt;INT($E250),"Interval must be whole months.",IF(OR($E250&lt;1,$E250&gt;240),"Interval must be 1-240 months.",""))))))</f>
        <v/>
      </c>
      <c r="J250" s="17" t="str">
        <f aca="false">IF(AND($A250="",$B250="",$C250="",$D250="",$E250=""),"",IF('Due List'!$B$4="Check details",IF($G250="Check details",ROW(),""),IF('Due List'!$B$4="All records",IF($G250="Check details",ROW()/100000,$F250+ROW()/100000),IF(OR($G250="Overdue",$G250="Due today",$G250="Due in next 30 days"),$F250+ROW()/100000,""))))</f>
        <v/>
      </c>
    </row>
    <row r="251" customFormat="false" ht="15" hidden="false" customHeight="false" outlineLevel="0" collapsed="false">
      <c r="A251" s="11"/>
      <c r="B251" s="11"/>
      <c r="C251" s="11"/>
      <c r="D251" s="12"/>
      <c r="E251" s="13"/>
      <c r="F251" s="14" t="str">
        <f aca="false">IF(OR(AND($A251="",$B251="",$C251="",$D251="",$E251=""),$I251&lt;&gt;""),"",EDATE($D251,$E251))</f>
        <v/>
      </c>
      <c r="G251" s="6" t="str">
        <f aca="false">IF(AND($A251="",$B251="",$C251="",$D251="",$E251=""),"",IF($I251&lt;&gt;"","Check details",IF($F251&lt;AsOf,"Overdue",IF($F251=AsOf,"Due today",IF($F251&lt;=AsOf+30,"Due in next 30 days","Later")))))</f>
        <v/>
      </c>
      <c r="H251" s="15" t="str">
        <f aca="false">IF($F251="","",$F251-AsOf)</f>
        <v/>
      </c>
      <c r="I251" s="16" t="str">
        <f aca="false">IF(AND($A251="",$B251="",$C251="",$D251="",$E251=""),"",TRIM(IF($A251="","Name missing. ","")&amp;IF($B251="","Site missing. ","")&amp;IF($D251="","Last service missing. ",IF(NOT(ISNUMBER($D251)),"Last service isn't a date. ",IF(OR($D251&lt;18264,$D251&lt;&gt;INT($D251)),"Last service isn't a valid date. ",IF($D251&gt;AsOf,"Last service is after the as-of date. ",""))))&amp;IF($E251="","Interval missing.",IF(NOT(ISNUMBER($E251)),"Interval must be a number.",IF($E251&lt;&gt;INT($E251),"Interval must be whole months.",IF(OR($E251&lt;1,$E251&gt;240),"Interval must be 1-240 months.",""))))))</f>
        <v/>
      </c>
      <c r="J251" s="17" t="str">
        <f aca="false">IF(AND($A251="",$B251="",$C251="",$D251="",$E251=""),"",IF('Due List'!$B$4="Check details",IF($G251="Check details",ROW(),""),IF('Due List'!$B$4="All records",IF($G251="Check details",ROW()/100000,$F251+ROW()/100000),IF(OR($G251="Overdue",$G251="Due today",$G251="Due in next 30 days"),$F251+ROW()/100000,""))))</f>
        <v/>
      </c>
    </row>
    <row r="252" customFormat="false" ht="15" hidden="false" customHeight="false" outlineLevel="0" collapsed="false">
      <c r="A252" s="11"/>
      <c r="B252" s="11"/>
      <c r="C252" s="11"/>
      <c r="D252" s="12"/>
      <c r="E252" s="13"/>
      <c r="F252" s="14" t="str">
        <f aca="false">IF(OR(AND($A252="",$B252="",$C252="",$D252="",$E252=""),$I252&lt;&gt;""),"",EDATE($D252,$E252))</f>
        <v/>
      </c>
      <c r="G252" s="6" t="str">
        <f aca="false">IF(AND($A252="",$B252="",$C252="",$D252="",$E252=""),"",IF($I252&lt;&gt;"","Check details",IF($F252&lt;AsOf,"Overdue",IF($F252=AsOf,"Due today",IF($F252&lt;=AsOf+30,"Due in next 30 days","Later")))))</f>
        <v/>
      </c>
      <c r="H252" s="15" t="str">
        <f aca="false">IF($F252="","",$F252-AsOf)</f>
        <v/>
      </c>
      <c r="I252" s="16" t="str">
        <f aca="false">IF(AND($A252="",$B252="",$C252="",$D252="",$E252=""),"",TRIM(IF($A252="","Name missing. ","")&amp;IF($B252="","Site missing. ","")&amp;IF($D252="","Last service missing. ",IF(NOT(ISNUMBER($D252)),"Last service isn't a date. ",IF(OR($D252&lt;18264,$D252&lt;&gt;INT($D252)),"Last service isn't a valid date. ",IF($D252&gt;AsOf,"Last service is after the as-of date. ",""))))&amp;IF($E252="","Interval missing.",IF(NOT(ISNUMBER($E252)),"Interval must be a number.",IF($E252&lt;&gt;INT($E252),"Interval must be whole months.",IF(OR($E252&lt;1,$E252&gt;240),"Interval must be 1-240 months.",""))))))</f>
        <v/>
      </c>
      <c r="J252" s="17" t="str">
        <f aca="false">IF(AND($A252="",$B252="",$C252="",$D252="",$E252=""),"",IF('Due List'!$B$4="Check details",IF($G252="Check details",ROW(),""),IF('Due List'!$B$4="All records",IF($G252="Check details",ROW()/100000,$F252+ROW()/100000),IF(OR($G252="Overdue",$G252="Due today",$G252="Due in next 30 days"),$F252+ROW()/100000,""))))</f>
        <v/>
      </c>
    </row>
    <row r="253" customFormat="false" ht="15" hidden="false" customHeight="false" outlineLevel="0" collapsed="false">
      <c r="A253" s="11"/>
      <c r="B253" s="11"/>
      <c r="C253" s="11"/>
      <c r="D253" s="12"/>
      <c r="E253" s="13"/>
      <c r="F253" s="14" t="str">
        <f aca="false">IF(OR(AND($A253="",$B253="",$C253="",$D253="",$E253=""),$I253&lt;&gt;""),"",EDATE($D253,$E253))</f>
        <v/>
      </c>
      <c r="G253" s="6" t="str">
        <f aca="false">IF(AND($A253="",$B253="",$C253="",$D253="",$E253=""),"",IF($I253&lt;&gt;"","Check details",IF($F253&lt;AsOf,"Overdue",IF($F253=AsOf,"Due today",IF($F253&lt;=AsOf+30,"Due in next 30 days","Later")))))</f>
        <v/>
      </c>
      <c r="H253" s="15" t="str">
        <f aca="false">IF($F253="","",$F253-AsOf)</f>
        <v/>
      </c>
      <c r="I253" s="16" t="str">
        <f aca="false">IF(AND($A253="",$B253="",$C253="",$D253="",$E253=""),"",TRIM(IF($A253="","Name missing. ","")&amp;IF($B253="","Site missing. ","")&amp;IF($D253="","Last service missing. ",IF(NOT(ISNUMBER($D253)),"Last service isn't a date. ",IF(OR($D253&lt;18264,$D253&lt;&gt;INT($D253)),"Last service isn't a valid date. ",IF($D253&gt;AsOf,"Last service is after the as-of date. ",""))))&amp;IF($E253="","Interval missing.",IF(NOT(ISNUMBER($E253)),"Interval must be a number.",IF($E253&lt;&gt;INT($E253),"Interval must be whole months.",IF(OR($E253&lt;1,$E253&gt;240),"Interval must be 1-240 months.",""))))))</f>
        <v/>
      </c>
      <c r="J253" s="17" t="str">
        <f aca="false">IF(AND($A253="",$B253="",$C253="",$D253="",$E253=""),"",IF('Due List'!$B$4="Check details",IF($G253="Check details",ROW(),""),IF('Due List'!$B$4="All records",IF($G253="Check details",ROW()/100000,$F253+ROW()/100000),IF(OR($G253="Overdue",$G253="Due today",$G253="Due in next 30 days"),$F253+ROW()/100000,""))))</f>
        <v/>
      </c>
    </row>
    <row r="254" customFormat="false" ht="15" hidden="false" customHeight="false" outlineLevel="0" collapsed="false">
      <c r="A254" s="11"/>
      <c r="B254" s="11"/>
      <c r="C254" s="11"/>
      <c r="D254" s="12"/>
      <c r="E254" s="13"/>
      <c r="F254" s="14" t="str">
        <f aca="false">IF(OR(AND($A254="",$B254="",$C254="",$D254="",$E254=""),$I254&lt;&gt;""),"",EDATE($D254,$E254))</f>
        <v/>
      </c>
      <c r="G254" s="6" t="str">
        <f aca="false">IF(AND($A254="",$B254="",$C254="",$D254="",$E254=""),"",IF($I254&lt;&gt;"","Check details",IF($F254&lt;AsOf,"Overdue",IF($F254=AsOf,"Due today",IF($F254&lt;=AsOf+30,"Due in next 30 days","Later")))))</f>
        <v/>
      </c>
      <c r="H254" s="15" t="str">
        <f aca="false">IF($F254="","",$F254-AsOf)</f>
        <v/>
      </c>
      <c r="I254" s="16" t="str">
        <f aca="false">IF(AND($A254="",$B254="",$C254="",$D254="",$E254=""),"",TRIM(IF($A254="","Name missing. ","")&amp;IF($B254="","Site missing. ","")&amp;IF($D254="","Last service missing. ",IF(NOT(ISNUMBER($D254)),"Last service isn't a date. ",IF(OR($D254&lt;18264,$D254&lt;&gt;INT($D254)),"Last service isn't a valid date. ",IF($D254&gt;AsOf,"Last service is after the as-of date. ",""))))&amp;IF($E254="","Interval missing.",IF(NOT(ISNUMBER($E254)),"Interval must be a number.",IF($E254&lt;&gt;INT($E254),"Interval must be whole months.",IF(OR($E254&lt;1,$E254&gt;240),"Interval must be 1-240 months.",""))))))</f>
        <v/>
      </c>
      <c r="J254" s="17" t="str">
        <f aca="false">IF(AND($A254="",$B254="",$C254="",$D254="",$E254=""),"",IF('Due List'!$B$4="Check details",IF($G254="Check details",ROW(),""),IF('Due List'!$B$4="All records",IF($G254="Check details",ROW()/100000,$F254+ROW()/100000),IF(OR($G254="Overdue",$G254="Due today",$G254="Due in next 30 days"),$F254+ROW()/100000,""))))</f>
        <v/>
      </c>
    </row>
    <row r="255" customFormat="false" ht="15" hidden="false" customHeight="false" outlineLevel="0" collapsed="false">
      <c r="A255" s="11"/>
      <c r="B255" s="11"/>
      <c r="C255" s="11"/>
      <c r="D255" s="12"/>
      <c r="E255" s="13"/>
      <c r="F255" s="14" t="str">
        <f aca="false">IF(OR(AND($A255="",$B255="",$C255="",$D255="",$E255=""),$I255&lt;&gt;""),"",EDATE($D255,$E255))</f>
        <v/>
      </c>
      <c r="G255" s="6" t="str">
        <f aca="false">IF(AND($A255="",$B255="",$C255="",$D255="",$E255=""),"",IF($I255&lt;&gt;"","Check details",IF($F255&lt;AsOf,"Overdue",IF($F255=AsOf,"Due today",IF($F255&lt;=AsOf+30,"Due in next 30 days","Later")))))</f>
        <v/>
      </c>
      <c r="H255" s="15" t="str">
        <f aca="false">IF($F255="","",$F255-AsOf)</f>
        <v/>
      </c>
      <c r="I255" s="16" t="str">
        <f aca="false">IF(AND($A255="",$B255="",$C255="",$D255="",$E255=""),"",TRIM(IF($A255="","Name missing. ","")&amp;IF($B255="","Site missing. ","")&amp;IF($D255="","Last service missing. ",IF(NOT(ISNUMBER($D255)),"Last service isn't a date. ",IF(OR($D255&lt;18264,$D255&lt;&gt;INT($D255)),"Last service isn't a valid date. ",IF($D255&gt;AsOf,"Last service is after the as-of date. ",""))))&amp;IF($E255="","Interval missing.",IF(NOT(ISNUMBER($E255)),"Interval must be a number.",IF($E255&lt;&gt;INT($E255),"Interval must be whole months.",IF(OR($E255&lt;1,$E255&gt;240),"Interval must be 1-240 months.",""))))))</f>
        <v/>
      </c>
      <c r="J255" s="17" t="str">
        <f aca="false">IF(AND($A255="",$B255="",$C255="",$D255="",$E255=""),"",IF('Due List'!$B$4="Check details",IF($G255="Check details",ROW(),""),IF('Due List'!$B$4="All records",IF($G255="Check details",ROW()/100000,$F255+ROW()/100000),IF(OR($G255="Overdue",$G255="Due today",$G255="Due in next 30 days"),$F255+ROW()/100000,""))))</f>
        <v/>
      </c>
    </row>
    <row r="256" customFormat="false" ht="15" hidden="false" customHeight="false" outlineLevel="0" collapsed="false">
      <c r="A256" s="11"/>
      <c r="B256" s="11"/>
      <c r="C256" s="11"/>
      <c r="D256" s="12"/>
      <c r="E256" s="13"/>
      <c r="F256" s="14" t="str">
        <f aca="false">IF(OR(AND($A256="",$B256="",$C256="",$D256="",$E256=""),$I256&lt;&gt;""),"",EDATE($D256,$E256))</f>
        <v/>
      </c>
      <c r="G256" s="6" t="str">
        <f aca="false">IF(AND($A256="",$B256="",$C256="",$D256="",$E256=""),"",IF($I256&lt;&gt;"","Check details",IF($F256&lt;AsOf,"Overdue",IF($F256=AsOf,"Due today",IF($F256&lt;=AsOf+30,"Due in next 30 days","Later")))))</f>
        <v/>
      </c>
      <c r="H256" s="15" t="str">
        <f aca="false">IF($F256="","",$F256-AsOf)</f>
        <v/>
      </c>
      <c r="I256" s="16" t="str">
        <f aca="false">IF(AND($A256="",$B256="",$C256="",$D256="",$E256=""),"",TRIM(IF($A256="","Name missing. ","")&amp;IF($B256="","Site missing. ","")&amp;IF($D256="","Last service missing. ",IF(NOT(ISNUMBER($D256)),"Last service isn't a date. ",IF(OR($D256&lt;18264,$D256&lt;&gt;INT($D256)),"Last service isn't a valid date. ",IF($D256&gt;AsOf,"Last service is after the as-of date. ",""))))&amp;IF($E256="","Interval missing.",IF(NOT(ISNUMBER($E256)),"Interval must be a number.",IF($E256&lt;&gt;INT($E256),"Interval must be whole months.",IF(OR($E256&lt;1,$E256&gt;240),"Interval must be 1-240 months.",""))))))</f>
        <v/>
      </c>
      <c r="J256" s="17" t="str">
        <f aca="false">IF(AND($A256="",$B256="",$C256="",$D256="",$E256=""),"",IF('Due List'!$B$4="Check details",IF($G256="Check details",ROW(),""),IF('Due List'!$B$4="All records",IF($G256="Check details",ROW()/100000,$F256+ROW()/100000),IF(OR($G256="Overdue",$G256="Due today",$G256="Due in next 30 days"),$F256+ROW()/100000,""))))</f>
        <v/>
      </c>
    </row>
    <row r="257" customFormat="false" ht="15" hidden="false" customHeight="false" outlineLevel="0" collapsed="false">
      <c r="A257" s="11"/>
      <c r="B257" s="11"/>
      <c r="C257" s="11"/>
      <c r="D257" s="12"/>
      <c r="E257" s="13"/>
      <c r="F257" s="14" t="str">
        <f aca="false">IF(OR(AND($A257="",$B257="",$C257="",$D257="",$E257=""),$I257&lt;&gt;""),"",EDATE($D257,$E257))</f>
        <v/>
      </c>
      <c r="G257" s="6" t="str">
        <f aca="false">IF(AND($A257="",$B257="",$C257="",$D257="",$E257=""),"",IF($I257&lt;&gt;"","Check details",IF($F257&lt;AsOf,"Overdue",IF($F257=AsOf,"Due today",IF($F257&lt;=AsOf+30,"Due in next 30 days","Later")))))</f>
        <v/>
      </c>
      <c r="H257" s="15" t="str">
        <f aca="false">IF($F257="","",$F257-AsOf)</f>
        <v/>
      </c>
      <c r="I257" s="16" t="str">
        <f aca="false">IF(AND($A257="",$B257="",$C257="",$D257="",$E257=""),"",TRIM(IF($A257="","Name missing. ","")&amp;IF($B257="","Site missing. ","")&amp;IF($D257="","Last service missing. ",IF(NOT(ISNUMBER($D257)),"Last service isn't a date. ",IF(OR($D257&lt;18264,$D257&lt;&gt;INT($D257)),"Last service isn't a valid date. ",IF($D257&gt;AsOf,"Last service is after the as-of date. ",""))))&amp;IF($E257="","Interval missing.",IF(NOT(ISNUMBER($E257)),"Interval must be a number.",IF($E257&lt;&gt;INT($E257),"Interval must be whole months.",IF(OR($E257&lt;1,$E257&gt;240),"Interval must be 1-240 months.",""))))))</f>
        <v/>
      </c>
      <c r="J257" s="17" t="str">
        <f aca="false">IF(AND($A257="",$B257="",$C257="",$D257="",$E257=""),"",IF('Due List'!$B$4="Check details",IF($G257="Check details",ROW(),""),IF('Due List'!$B$4="All records",IF($G257="Check details",ROW()/100000,$F257+ROW()/100000),IF(OR($G257="Overdue",$G257="Due today",$G257="Due in next 30 days"),$F257+ROW()/100000,""))))</f>
        <v/>
      </c>
    </row>
    <row r="258" customFormat="false" ht="15" hidden="false" customHeight="false" outlineLevel="0" collapsed="false">
      <c r="A258" s="11"/>
      <c r="B258" s="11"/>
      <c r="C258" s="11"/>
      <c r="D258" s="12"/>
      <c r="E258" s="13"/>
      <c r="F258" s="14" t="str">
        <f aca="false">IF(OR(AND($A258="",$B258="",$C258="",$D258="",$E258=""),$I258&lt;&gt;""),"",EDATE($D258,$E258))</f>
        <v/>
      </c>
      <c r="G258" s="6" t="str">
        <f aca="false">IF(AND($A258="",$B258="",$C258="",$D258="",$E258=""),"",IF($I258&lt;&gt;"","Check details",IF($F258&lt;AsOf,"Overdue",IF($F258=AsOf,"Due today",IF($F258&lt;=AsOf+30,"Due in next 30 days","Later")))))</f>
        <v/>
      </c>
      <c r="H258" s="15" t="str">
        <f aca="false">IF($F258="","",$F258-AsOf)</f>
        <v/>
      </c>
      <c r="I258" s="16" t="str">
        <f aca="false">IF(AND($A258="",$B258="",$C258="",$D258="",$E258=""),"",TRIM(IF($A258="","Name missing. ","")&amp;IF($B258="","Site missing. ","")&amp;IF($D258="","Last service missing. ",IF(NOT(ISNUMBER($D258)),"Last service isn't a date. ",IF(OR($D258&lt;18264,$D258&lt;&gt;INT($D258)),"Last service isn't a valid date. ",IF($D258&gt;AsOf,"Last service is after the as-of date. ",""))))&amp;IF($E258="","Interval missing.",IF(NOT(ISNUMBER($E258)),"Interval must be a number.",IF($E258&lt;&gt;INT($E258),"Interval must be whole months.",IF(OR($E258&lt;1,$E258&gt;240),"Interval must be 1-240 months.",""))))))</f>
        <v/>
      </c>
      <c r="J258" s="17" t="str">
        <f aca="false">IF(AND($A258="",$B258="",$C258="",$D258="",$E258=""),"",IF('Due List'!$B$4="Check details",IF($G258="Check details",ROW(),""),IF('Due List'!$B$4="All records",IF($G258="Check details",ROW()/100000,$F258+ROW()/100000),IF(OR($G258="Overdue",$G258="Due today",$G258="Due in next 30 days"),$F258+ROW()/100000,""))))</f>
        <v/>
      </c>
    </row>
    <row r="259" customFormat="false" ht="15" hidden="false" customHeight="false" outlineLevel="0" collapsed="false">
      <c r="A259" s="11"/>
      <c r="B259" s="11"/>
      <c r="C259" s="11"/>
      <c r="D259" s="12"/>
      <c r="E259" s="13"/>
      <c r="F259" s="14" t="str">
        <f aca="false">IF(OR(AND($A259="",$B259="",$C259="",$D259="",$E259=""),$I259&lt;&gt;""),"",EDATE($D259,$E259))</f>
        <v/>
      </c>
      <c r="G259" s="6" t="str">
        <f aca="false">IF(AND($A259="",$B259="",$C259="",$D259="",$E259=""),"",IF($I259&lt;&gt;"","Check details",IF($F259&lt;AsOf,"Overdue",IF($F259=AsOf,"Due today",IF($F259&lt;=AsOf+30,"Due in next 30 days","Later")))))</f>
        <v/>
      </c>
      <c r="H259" s="15" t="str">
        <f aca="false">IF($F259="","",$F259-AsOf)</f>
        <v/>
      </c>
      <c r="I259" s="16" t="str">
        <f aca="false">IF(AND($A259="",$B259="",$C259="",$D259="",$E259=""),"",TRIM(IF($A259="","Name missing. ","")&amp;IF($B259="","Site missing. ","")&amp;IF($D259="","Last service missing. ",IF(NOT(ISNUMBER($D259)),"Last service isn't a date. ",IF(OR($D259&lt;18264,$D259&lt;&gt;INT($D259)),"Last service isn't a valid date. ",IF($D259&gt;AsOf,"Last service is after the as-of date. ",""))))&amp;IF($E259="","Interval missing.",IF(NOT(ISNUMBER($E259)),"Interval must be a number.",IF($E259&lt;&gt;INT($E259),"Interval must be whole months.",IF(OR($E259&lt;1,$E259&gt;240),"Interval must be 1-240 months.",""))))))</f>
        <v/>
      </c>
      <c r="J259" s="17" t="str">
        <f aca="false">IF(AND($A259="",$B259="",$C259="",$D259="",$E259=""),"",IF('Due List'!$B$4="Check details",IF($G259="Check details",ROW(),""),IF('Due List'!$B$4="All records",IF($G259="Check details",ROW()/100000,$F259+ROW()/100000),IF(OR($G259="Overdue",$G259="Due today",$G259="Due in next 30 days"),$F259+ROW()/100000,""))))</f>
        <v/>
      </c>
    </row>
    <row r="260" customFormat="false" ht="15" hidden="false" customHeight="false" outlineLevel="0" collapsed="false">
      <c r="A260" s="11"/>
      <c r="B260" s="11"/>
      <c r="C260" s="11"/>
      <c r="D260" s="12"/>
      <c r="E260" s="13"/>
      <c r="F260" s="14" t="str">
        <f aca="false">IF(OR(AND($A260="",$B260="",$C260="",$D260="",$E260=""),$I260&lt;&gt;""),"",EDATE($D260,$E260))</f>
        <v/>
      </c>
      <c r="G260" s="6" t="str">
        <f aca="false">IF(AND($A260="",$B260="",$C260="",$D260="",$E260=""),"",IF($I260&lt;&gt;"","Check details",IF($F260&lt;AsOf,"Overdue",IF($F260=AsOf,"Due today",IF($F260&lt;=AsOf+30,"Due in next 30 days","Later")))))</f>
        <v/>
      </c>
      <c r="H260" s="15" t="str">
        <f aca="false">IF($F260="","",$F260-AsOf)</f>
        <v/>
      </c>
      <c r="I260" s="16" t="str">
        <f aca="false">IF(AND($A260="",$B260="",$C260="",$D260="",$E260=""),"",TRIM(IF($A260="","Name missing. ","")&amp;IF($B260="","Site missing. ","")&amp;IF($D260="","Last service missing. ",IF(NOT(ISNUMBER($D260)),"Last service isn't a date. ",IF(OR($D260&lt;18264,$D260&lt;&gt;INT($D260)),"Last service isn't a valid date. ",IF($D260&gt;AsOf,"Last service is after the as-of date. ",""))))&amp;IF($E260="","Interval missing.",IF(NOT(ISNUMBER($E260)),"Interval must be a number.",IF($E260&lt;&gt;INT($E260),"Interval must be whole months.",IF(OR($E260&lt;1,$E260&gt;240),"Interval must be 1-240 months.",""))))))</f>
        <v/>
      </c>
      <c r="J260" s="17" t="str">
        <f aca="false">IF(AND($A260="",$B260="",$C260="",$D260="",$E260=""),"",IF('Due List'!$B$4="Check details",IF($G260="Check details",ROW(),""),IF('Due List'!$B$4="All records",IF($G260="Check details",ROW()/100000,$F260+ROW()/100000),IF(OR($G260="Overdue",$G260="Due today",$G260="Due in next 30 days"),$F260+ROW()/100000,""))))</f>
        <v/>
      </c>
    </row>
    <row r="261" customFormat="false" ht="15" hidden="false" customHeight="false" outlineLevel="0" collapsed="false">
      <c r="A261" s="11"/>
      <c r="B261" s="11"/>
      <c r="C261" s="11"/>
      <c r="D261" s="12"/>
      <c r="E261" s="13"/>
      <c r="F261" s="14" t="str">
        <f aca="false">IF(OR(AND($A261="",$B261="",$C261="",$D261="",$E261=""),$I261&lt;&gt;""),"",EDATE($D261,$E261))</f>
        <v/>
      </c>
      <c r="G261" s="6" t="str">
        <f aca="false">IF(AND($A261="",$B261="",$C261="",$D261="",$E261=""),"",IF($I261&lt;&gt;"","Check details",IF($F261&lt;AsOf,"Overdue",IF($F261=AsOf,"Due today",IF($F261&lt;=AsOf+30,"Due in next 30 days","Later")))))</f>
        <v/>
      </c>
      <c r="H261" s="15" t="str">
        <f aca="false">IF($F261="","",$F261-AsOf)</f>
        <v/>
      </c>
      <c r="I261" s="16" t="str">
        <f aca="false">IF(AND($A261="",$B261="",$C261="",$D261="",$E261=""),"",TRIM(IF($A261="","Name missing. ","")&amp;IF($B261="","Site missing. ","")&amp;IF($D261="","Last service missing. ",IF(NOT(ISNUMBER($D261)),"Last service isn't a date. ",IF(OR($D261&lt;18264,$D261&lt;&gt;INT($D261)),"Last service isn't a valid date. ",IF($D261&gt;AsOf,"Last service is after the as-of date. ",""))))&amp;IF($E261="","Interval missing.",IF(NOT(ISNUMBER($E261)),"Interval must be a number.",IF($E261&lt;&gt;INT($E261),"Interval must be whole months.",IF(OR($E261&lt;1,$E261&gt;240),"Interval must be 1-240 months.",""))))))</f>
        <v/>
      </c>
      <c r="J261" s="17" t="str">
        <f aca="false">IF(AND($A261="",$B261="",$C261="",$D261="",$E261=""),"",IF('Due List'!$B$4="Check details",IF($G261="Check details",ROW(),""),IF('Due List'!$B$4="All records",IF($G261="Check details",ROW()/100000,$F261+ROW()/100000),IF(OR($G261="Overdue",$G261="Due today",$G261="Due in next 30 days"),$F261+ROW()/100000,""))))</f>
        <v/>
      </c>
    </row>
    <row r="262" customFormat="false" ht="15" hidden="false" customHeight="false" outlineLevel="0" collapsed="false">
      <c r="A262" s="11"/>
      <c r="B262" s="11"/>
      <c r="C262" s="11"/>
      <c r="D262" s="12"/>
      <c r="E262" s="13"/>
      <c r="F262" s="14" t="str">
        <f aca="false">IF(OR(AND($A262="",$B262="",$C262="",$D262="",$E262=""),$I262&lt;&gt;""),"",EDATE($D262,$E262))</f>
        <v/>
      </c>
      <c r="G262" s="6" t="str">
        <f aca="false">IF(AND($A262="",$B262="",$C262="",$D262="",$E262=""),"",IF($I262&lt;&gt;"","Check details",IF($F262&lt;AsOf,"Overdue",IF($F262=AsOf,"Due today",IF($F262&lt;=AsOf+30,"Due in next 30 days","Later")))))</f>
        <v/>
      </c>
      <c r="H262" s="15" t="str">
        <f aca="false">IF($F262="","",$F262-AsOf)</f>
        <v/>
      </c>
      <c r="I262" s="16" t="str">
        <f aca="false">IF(AND($A262="",$B262="",$C262="",$D262="",$E262=""),"",TRIM(IF($A262="","Name missing. ","")&amp;IF($B262="","Site missing. ","")&amp;IF($D262="","Last service missing. ",IF(NOT(ISNUMBER($D262)),"Last service isn't a date. ",IF(OR($D262&lt;18264,$D262&lt;&gt;INT($D262)),"Last service isn't a valid date. ",IF($D262&gt;AsOf,"Last service is after the as-of date. ",""))))&amp;IF($E262="","Interval missing.",IF(NOT(ISNUMBER($E262)),"Interval must be a number.",IF($E262&lt;&gt;INT($E262),"Interval must be whole months.",IF(OR($E262&lt;1,$E262&gt;240),"Interval must be 1-240 months.",""))))))</f>
        <v/>
      </c>
      <c r="J262" s="17" t="str">
        <f aca="false">IF(AND($A262="",$B262="",$C262="",$D262="",$E262=""),"",IF('Due List'!$B$4="Check details",IF($G262="Check details",ROW(),""),IF('Due List'!$B$4="All records",IF($G262="Check details",ROW()/100000,$F262+ROW()/100000),IF(OR($G262="Overdue",$G262="Due today",$G262="Due in next 30 days"),$F262+ROW()/100000,""))))</f>
        <v/>
      </c>
    </row>
    <row r="263" customFormat="false" ht="15" hidden="false" customHeight="false" outlineLevel="0" collapsed="false">
      <c r="A263" s="11"/>
      <c r="B263" s="11"/>
      <c r="C263" s="11"/>
      <c r="D263" s="12"/>
      <c r="E263" s="13"/>
      <c r="F263" s="14" t="str">
        <f aca="false">IF(OR(AND($A263="",$B263="",$C263="",$D263="",$E263=""),$I263&lt;&gt;""),"",EDATE($D263,$E263))</f>
        <v/>
      </c>
      <c r="G263" s="6" t="str">
        <f aca="false">IF(AND($A263="",$B263="",$C263="",$D263="",$E263=""),"",IF($I263&lt;&gt;"","Check details",IF($F263&lt;AsOf,"Overdue",IF($F263=AsOf,"Due today",IF($F263&lt;=AsOf+30,"Due in next 30 days","Later")))))</f>
        <v/>
      </c>
      <c r="H263" s="15" t="str">
        <f aca="false">IF($F263="","",$F263-AsOf)</f>
        <v/>
      </c>
      <c r="I263" s="16" t="str">
        <f aca="false">IF(AND($A263="",$B263="",$C263="",$D263="",$E263=""),"",TRIM(IF($A263="","Name missing. ","")&amp;IF($B263="","Site missing. ","")&amp;IF($D263="","Last service missing. ",IF(NOT(ISNUMBER($D263)),"Last service isn't a date. ",IF(OR($D263&lt;18264,$D263&lt;&gt;INT($D263)),"Last service isn't a valid date. ",IF($D263&gt;AsOf,"Last service is after the as-of date. ",""))))&amp;IF($E263="","Interval missing.",IF(NOT(ISNUMBER($E263)),"Interval must be a number.",IF($E263&lt;&gt;INT($E263),"Interval must be whole months.",IF(OR($E263&lt;1,$E263&gt;240),"Interval must be 1-240 months.",""))))))</f>
        <v/>
      </c>
      <c r="J263" s="17" t="str">
        <f aca="false">IF(AND($A263="",$B263="",$C263="",$D263="",$E263=""),"",IF('Due List'!$B$4="Check details",IF($G263="Check details",ROW(),""),IF('Due List'!$B$4="All records",IF($G263="Check details",ROW()/100000,$F263+ROW()/100000),IF(OR($G263="Overdue",$G263="Due today",$G263="Due in next 30 days"),$F263+ROW()/100000,""))))</f>
        <v/>
      </c>
    </row>
    <row r="264" customFormat="false" ht="15" hidden="false" customHeight="false" outlineLevel="0" collapsed="false">
      <c r="A264" s="11"/>
      <c r="B264" s="11"/>
      <c r="C264" s="11"/>
      <c r="D264" s="12"/>
      <c r="E264" s="13"/>
      <c r="F264" s="14" t="str">
        <f aca="false">IF(OR(AND($A264="",$B264="",$C264="",$D264="",$E264=""),$I264&lt;&gt;""),"",EDATE($D264,$E264))</f>
        <v/>
      </c>
      <c r="G264" s="6" t="str">
        <f aca="false">IF(AND($A264="",$B264="",$C264="",$D264="",$E264=""),"",IF($I264&lt;&gt;"","Check details",IF($F264&lt;AsOf,"Overdue",IF($F264=AsOf,"Due today",IF($F264&lt;=AsOf+30,"Due in next 30 days","Later")))))</f>
        <v/>
      </c>
      <c r="H264" s="15" t="str">
        <f aca="false">IF($F264="","",$F264-AsOf)</f>
        <v/>
      </c>
      <c r="I264" s="16" t="str">
        <f aca="false">IF(AND($A264="",$B264="",$C264="",$D264="",$E264=""),"",TRIM(IF($A264="","Name missing. ","")&amp;IF($B264="","Site missing. ","")&amp;IF($D264="","Last service missing. ",IF(NOT(ISNUMBER($D264)),"Last service isn't a date. ",IF(OR($D264&lt;18264,$D264&lt;&gt;INT($D264)),"Last service isn't a valid date. ",IF($D264&gt;AsOf,"Last service is after the as-of date. ",""))))&amp;IF($E264="","Interval missing.",IF(NOT(ISNUMBER($E264)),"Interval must be a number.",IF($E264&lt;&gt;INT($E264),"Interval must be whole months.",IF(OR($E264&lt;1,$E264&gt;240),"Interval must be 1-240 months.",""))))))</f>
        <v/>
      </c>
      <c r="J264" s="17" t="str">
        <f aca="false">IF(AND($A264="",$B264="",$C264="",$D264="",$E264=""),"",IF('Due List'!$B$4="Check details",IF($G264="Check details",ROW(),""),IF('Due List'!$B$4="All records",IF($G264="Check details",ROW()/100000,$F264+ROW()/100000),IF(OR($G264="Overdue",$G264="Due today",$G264="Due in next 30 days"),$F264+ROW()/100000,""))))</f>
        <v/>
      </c>
    </row>
    <row r="265" customFormat="false" ht="15" hidden="false" customHeight="false" outlineLevel="0" collapsed="false">
      <c r="A265" s="11"/>
      <c r="B265" s="11"/>
      <c r="C265" s="11"/>
      <c r="D265" s="12"/>
      <c r="E265" s="13"/>
      <c r="F265" s="14" t="str">
        <f aca="false">IF(OR(AND($A265="",$B265="",$C265="",$D265="",$E265=""),$I265&lt;&gt;""),"",EDATE($D265,$E265))</f>
        <v/>
      </c>
      <c r="G265" s="6" t="str">
        <f aca="false">IF(AND($A265="",$B265="",$C265="",$D265="",$E265=""),"",IF($I265&lt;&gt;"","Check details",IF($F265&lt;AsOf,"Overdue",IF($F265=AsOf,"Due today",IF($F265&lt;=AsOf+30,"Due in next 30 days","Later")))))</f>
        <v/>
      </c>
      <c r="H265" s="15" t="str">
        <f aca="false">IF($F265="","",$F265-AsOf)</f>
        <v/>
      </c>
      <c r="I265" s="16" t="str">
        <f aca="false">IF(AND($A265="",$B265="",$C265="",$D265="",$E265=""),"",TRIM(IF($A265="","Name missing. ","")&amp;IF($B265="","Site missing. ","")&amp;IF($D265="","Last service missing. ",IF(NOT(ISNUMBER($D265)),"Last service isn't a date. ",IF(OR($D265&lt;18264,$D265&lt;&gt;INT($D265)),"Last service isn't a valid date. ",IF($D265&gt;AsOf,"Last service is after the as-of date. ",""))))&amp;IF($E265="","Interval missing.",IF(NOT(ISNUMBER($E265)),"Interval must be a number.",IF($E265&lt;&gt;INT($E265),"Interval must be whole months.",IF(OR($E265&lt;1,$E265&gt;240),"Interval must be 1-240 months.",""))))))</f>
        <v/>
      </c>
      <c r="J265" s="17" t="str">
        <f aca="false">IF(AND($A265="",$B265="",$C265="",$D265="",$E265=""),"",IF('Due List'!$B$4="Check details",IF($G265="Check details",ROW(),""),IF('Due List'!$B$4="All records",IF($G265="Check details",ROW()/100000,$F265+ROW()/100000),IF(OR($G265="Overdue",$G265="Due today",$G265="Due in next 30 days"),$F265+ROW()/100000,""))))</f>
        <v/>
      </c>
    </row>
    <row r="266" customFormat="false" ht="15" hidden="false" customHeight="false" outlineLevel="0" collapsed="false">
      <c r="A266" s="11"/>
      <c r="B266" s="11"/>
      <c r="C266" s="11"/>
      <c r="D266" s="12"/>
      <c r="E266" s="13"/>
      <c r="F266" s="14" t="str">
        <f aca="false">IF(OR(AND($A266="",$B266="",$C266="",$D266="",$E266=""),$I266&lt;&gt;""),"",EDATE($D266,$E266))</f>
        <v/>
      </c>
      <c r="G266" s="6" t="str">
        <f aca="false">IF(AND($A266="",$B266="",$C266="",$D266="",$E266=""),"",IF($I266&lt;&gt;"","Check details",IF($F266&lt;AsOf,"Overdue",IF($F266=AsOf,"Due today",IF($F266&lt;=AsOf+30,"Due in next 30 days","Later")))))</f>
        <v/>
      </c>
      <c r="H266" s="15" t="str">
        <f aca="false">IF($F266="","",$F266-AsOf)</f>
        <v/>
      </c>
      <c r="I266" s="16" t="str">
        <f aca="false">IF(AND($A266="",$B266="",$C266="",$D266="",$E266=""),"",TRIM(IF($A266="","Name missing. ","")&amp;IF($B266="","Site missing. ","")&amp;IF($D266="","Last service missing. ",IF(NOT(ISNUMBER($D266)),"Last service isn't a date. ",IF(OR($D266&lt;18264,$D266&lt;&gt;INT($D266)),"Last service isn't a valid date. ",IF($D266&gt;AsOf,"Last service is after the as-of date. ",""))))&amp;IF($E266="","Interval missing.",IF(NOT(ISNUMBER($E266)),"Interval must be a number.",IF($E266&lt;&gt;INT($E266),"Interval must be whole months.",IF(OR($E266&lt;1,$E266&gt;240),"Interval must be 1-240 months.",""))))))</f>
        <v/>
      </c>
      <c r="J266" s="17" t="str">
        <f aca="false">IF(AND($A266="",$B266="",$C266="",$D266="",$E266=""),"",IF('Due List'!$B$4="Check details",IF($G266="Check details",ROW(),""),IF('Due List'!$B$4="All records",IF($G266="Check details",ROW()/100000,$F266+ROW()/100000),IF(OR($G266="Overdue",$G266="Due today",$G266="Due in next 30 days"),$F266+ROW()/100000,""))))</f>
        <v/>
      </c>
    </row>
    <row r="267" customFormat="false" ht="15" hidden="false" customHeight="false" outlineLevel="0" collapsed="false">
      <c r="A267" s="11"/>
      <c r="B267" s="11"/>
      <c r="C267" s="11"/>
      <c r="D267" s="12"/>
      <c r="E267" s="13"/>
      <c r="F267" s="14" t="str">
        <f aca="false">IF(OR(AND($A267="",$B267="",$C267="",$D267="",$E267=""),$I267&lt;&gt;""),"",EDATE($D267,$E267))</f>
        <v/>
      </c>
      <c r="G267" s="6" t="str">
        <f aca="false">IF(AND($A267="",$B267="",$C267="",$D267="",$E267=""),"",IF($I267&lt;&gt;"","Check details",IF($F267&lt;AsOf,"Overdue",IF($F267=AsOf,"Due today",IF($F267&lt;=AsOf+30,"Due in next 30 days","Later")))))</f>
        <v/>
      </c>
      <c r="H267" s="15" t="str">
        <f aca="false">IF($F267="","",$F267-AsOf)</f>
        <v/>
      </c>
      <c r="I267" s="16" t="str">
        <f aca="false">IF(AND($A267="",$B267="",$C267="",$D267="",$E267=""),"",TRIM(IF($A267="","Name missing. ","")&amp;IF($B267="","Site missing. ","")&amp;IF($D267="","Last service missing. ",IF(NOT(ISNUMBER($D267)),"Last service isn't a date. ",IF(OR($D267&lt;18264,$D267&lt;&gt;INT($D267)),"Last service isn't a valid date. ",IF($D267&gt;AsOf,"Last service is after the as-of date. ",""))))&amp;IF($E267="","Interval missing.",IF(NOT(ISNUMBER($E267)),"Interval must be a number.",IF($E267&lt;&gt;INT($E267),"Interval must be whole months.",IF(OR($E267&lt;1,$E267&gt;240),"Interval must be 1-240 months.",""))))))</f>
        <v/>
      </c>
      <c r="J267" s="17" t="str">
        <f aca="false">IF(AND($A267="",$B267="",$C267="",$D267="",$E267=""),"",IF('Due List'!$B$4="Check details",IF($G267="Check details",ROW(),""),IF('Due List'!$B$4="All records",IF($G267="Check details",ROW()/100000,$F267+ROW()/100000),IF(OR($G267="Overdue",$G267="Due today",$G267="Due in next 30 days"),$F267+ROW()/100000,""))))</f>
        <v/>
      </c>
    </row>
    <row r="268" customFormat="false" ht="15" hidden="false" customHeight="false" outlineLevel="0" collapsed="false">
      <c r="A268" s="11"/>
      <c r="B268" s="11"/>
      <c r="C268" s="11"/>
      <c r="D268" s="12"/>
      <c r="E268" s="13"/>
      <c r="F268" s="14" t="str">
        <f aca="false">IF(OR(AND($A268="",$B268="",$C268="",$D268="",$E268=""),$I268&lt;&gt;""),"",EDATE($D268,$E268))</f>
        <v/>
      </c>
      <c r="G268" s="6" t="str">
        <f aca="false">IF(AND($A268="",$B268="",$C268="",$D268="",$E268=""),"",IF($I268&lt;&gt;"","Check details",IF($F268&lt;AsOf,"Overdue",IF($F268=AsOf,"Due today",IF($F268&lt;=AsOf+30,"Due in next 30 days","Later")))))</f>
        <v/>
      </c>
      <c r="H268" s="15" t="str">
        <f aca="false">IF($F268="","",$F268-AsOf)</f>
        <v/>
      </c>
      <c r="I268" s="16" t="str">
        <f aca="false">IF(AND($A268="",$B268="",$C268="",$D268="",$E268=""),"",TRIM(IF($A268="","Name missing. ","")&amp;IF($B268="","Site missing. ","")&amp;IF($D268="","Last service missing. ",IF(NOT(ISNUMBER($D268)),"Last service isn't a date. ",IF(OR($D268&lt;18264,$D268&lt;&gt;INT($D268)),"Last service isn't a valid date. ",IF($D268&gt;AsOf,"Last service is after the as-of date. ",""))))&amp;IF($E268="","Interval missing.",IF(NOT(ISNUMBER($E268)),"Interval must be a number.",IF($E268&lt;&gt;INT($E268),"Interval must be whole months.",IF(OR($E268&lt;1,$E268&gt;240),"Interval must be 1-240 months.",""))))))</f>
        <v/>
      </c>
      <c r="J268" s="17" t="str">
        <f aca="false">IF(AND($A268="",$B268="",$C268="",$D268="",$E268=""),"",IF('Due List'!$B$4="Check details",IF($G268="Check details",ROW(),""),IF('Due List'!$B$4="All records",IF($G268="Check details",ROW()/100000,$F268+ROW()/100000),IF(OR($G268="Overdue",$G268="Due today",$G268="Due in next 30 days"),$F268+ROW()/100000,""))))</f>
        <v/>
      </c>
    </row>
    <row r="269" customFormat="false" ht="15" hidden="false" customHeight="false" outlineLevel="0" collapsed="false">
      <c r="A269" s="11"/>
      <c r="B269" s="11"/>
      <c r="C269" s="11"/>
      <c r="D269" s="12"/>
      <c r="E269" s="13"/>
      <c r="F269" s="14" t="str">
        <f aca="false">IF(OR(AND($A269="",$B269="",$C269="",$D269="",$E269=""),$I269&lt;&gt;""),"",EDATE($D269,$E269))</f>
        <v/>
      </c>
      <c r="G269" s="6" t="str">
        <f aca="false">IF(AND($A269="",$B269="",$C269="",$D269="",$E269=""),"",IF($I269&lt;&gt;"","Check details",IF($F269&lt;AsOf,"Overdue",IF($F269=AsOf,"Due today",IF($F269&lt;=AsOf+30,"Due in next 30 days","Later")))))</f>
        <v/>
      </c>
      <c r="H269" s="15" t="str">
        <f aca="false">IF($F269="","",$F269-AsOf)</f>
        <v/>
      </c>
      <c r="I269" s="16" t="str">
        <f aca="false">IF(AND($A269="",$B269="",$C269="",$D269="",$E269=""),"",TRIM(IF($A269="","Name missing. ","")&amp;IF($B269="","Site missing. ","")&amp;IF($D269="","Last service missing. ",IF(NOT(ISNUMBER($D269)),"Last service isn't a date. ",IF(OR($D269&lt;18264,$D269&lt;&gt;INT($D269)),"Last service isn't a valid date. ",IF($D269&gt;AsOf,"Last service is after the as-of date. ",""))))&amp;IF($E269="","Interval missing.",IF(NOT(ISNUMBER($E269)),"Interval must be a number.",IF($E269&lt;&gt;INT($E269),"Interval must be whole months.",IF(OR($E269&lt;1,$E269&gt;240),"Interval must be 1-240 months.",""))))))</f>
        <v/>
      </c>
      <c r="J269" s="17" t="str">
        <f aca="false">IF(AND($A269="",$B269="",$C269="",$D269="",$E269=""),"",IF('Due List'!$B$4="Check details",IF($G269="Check details",ROW(),""),IF('Due List'!$B$4="All records",IF($G269="Check details",ROW()/100000,$F269+ROW()/100000),IF(OR($G269="Overdue",$G269="Due today",$G269="Due in next 30 days"),$F269+ROW()/100000,""))))</f>
        <v/>
      </c>
    </row>
    <row r="270" customFormat="false" ht="15" hidden="false" customHeight="false" outlineLevel="0" collapsed="false">
      <c r="A270" s="11"/>
      <c r="B270" s="11"/>
      <c r="C270" s="11"/>
      <c r="D270" s="12"/>
      <c r="E270" s="13"/>
      <c r="F270" s="14" t="str">
        <f aca="false">IF(OR(AND($A270="",$B270="",$C270="",$D270="",$E270=""),$I270&lt;&gt;""),"",EDATE($D270,$E270))</f>
        <v/>
      </c>
      <c r="G270" s="6" t="str">
        <f aca="false">IF(AND($A270="",$B270="",$C270="",$D270="",$E270=""),"",IF($I270&lt;&gt;"","Check details",IF($F270&lt;AsOf,"Overdue",IF($F270=AsOf,"Due today",IF($F270&lt;=AsOf+30,"Due in next 30 days","Later")))))</f>
        <v/>
      </c>
      <c r="H270" s="15" t="str">
        <f aca="false">IF($F270="","",$F270-AsOf)</f>
        <v/>
      </c>
      <c r="I270" s="16" t="str">
        <f aca="false">IF(AND($A270="",$B270="",$C270="",$D270="",$E270=""),"",TRIM(IF($A270="","Name missing. ","")&amp;IF($B270="","Site missing. ","")&amp;IF($D270="","Last service missing. ",IF(NOT(ISNUMBER($D270)),"Last service isn't a date. ",IF(OR($D270&lt;18264,$D270&lt;&gt;INT($D270)),"Last service isn't a valid date. ",IF($D270&gt;AsOf,"Last service is after the as-of date. ",""))))&amp;IF($E270="","Interval missing.",IF(NOT(ISNUMBER($E270)),"Interval must be a number.",IF($E270&lt;&gt;INT($E270),"Interval must be whole months.",IF(OR($E270&lt;1,$E270&gt;240),"Interval must be 1-240 months.",""))))))</f>
        <v/>
      </c>
      <c r="J270" s="17" t="str">
        <f aca="false">IF(AND($A270="",$B270="",$C270="",$D270="",$E270=""),"",IF('Due List'!$B$4="Check details",IF($G270="Check details",ROW(),""),IF('Due List'!$B$4="All records",IF($G270="Check details",ROW()/100000,$F270+ROW()/100000),IF(OR($G270="Overdue",$G270="Due today",$G270="Due in next 30 days"),$F270+ROW()/100000,""))))</f>
        <v/>
      </c>
    </row>
    <row r="271" customFormat="false" ht="15" hidden="false" customHeight="false" outlineLevel="0" collapsed="false">
      <c r="A271" s="11"/>
      <c r="B271" s="11"/>
      <c r="C271" s="11"/>
      <c r="D271" s="12"/>
      <c r="E271" s="13"/>
      <c r="F271" s="14" t="str">
        <f aca="false">IF(OR(AND($A271="",$B271="",$C271="",$D271="",$E271=""),$I271&lt;&gt;""),"",EDATE($D271,$E271))</f>
        <v/>
      </c>
      <c r="G271" s="6" t="str">
        <f aca="false">IF(AND($A271="",$B271="",$C271="",$D271="",$E271=""),"",IF($I271&lt;&gt;"","Check details",IF($F271&lt;AsOf,"Overdue",IF($F271=AsOf,"Due today",IF($F271&lt;=AsOf+30,"Due in next 30 days","Later")))))</f>
        <v/>
      </c>
      <c r="H271" s="15" t="str">
        <f aca="false">IF($F271="","",$F271-AsOf)</f>
        <v/>
      </c>
      <c r="I271" s="16" t="str">
        <f aca="false">IF(AND($A271="",$B271="",$C271="",$D271="",$E271=""),"",TRIM(IF($A271="","Name missing. ","")&amp;IF($B271="","Site missing. ","")&amp;IF($D271="","Last service missing. ",IF(NOT(ISNUMBER($D271)),"Last service isn't a date. ",IF(OR($D271&lt;18264,$D271&lt;&gt;INT($D271)),"Last service isn't a valid date. ",IF($D271&gt;AsOf,"Last service is after the as-of date. ",""))))&amp;IF($E271="","Interval missing.",IF(NOT(ISNUMBER($E271)),"Interval must be a number.",IF($E271&lt;&gt;INT($E271),"Interval must be whole months.",IF(OR($E271&lt;1,$E271&gt;240),"Interval must be 1-240 months.",""))))))</f>
        <v/>
      </c>
      <c r="J271" s="17" t="str">
        <f aca="false">IF(AND($A271="",$B271="",$C271="",$D271="",$E271=""),"",IF('Due List'!$B$4="Check details",IF($G271="Check details",ROW(),""),IF('Due List'!$B$4="All records",IF($G271="Check details",ROW()/100000,$F271+ROW()/100000),IF(OR($G271="Overdue",$G271="Due today",$G271="Due in next 30 days"),$F271+ROW()/100000,""))))</f>
        <v/>
      </c>
    </row>
    <row r="272" customFormat="false" ht="15" hidden="false" customHeight="false" outlineLevel="0" collapsed="false">
      <c r="A272" s="11"/>
      <c r="B272" s="11"/>
      <c r="C272" s="11"/>
      <c r="D272" s="12"/>
      <c r="E272" s="13"/>
      <c r="F272" s="14" t="str">
        <f aca="false">IF(OR(AND($A272="",$B272="",$C272="",$D272="",$E272=""),$I272&lt;&gt;""),"",EDATE($D272,$E272))</f>
        <v/>
      </c>
      <c r="G272" s="6" t="str">
        <f aca="false">IF(AND($A272="",$B272="",$C272="",$D272="",$E272=""),"",IF($I272&lt;&gt;"","Check details",IF($F272&lt;AsOf,"Overdue",IF($F272=AsOf,"Due today",IF($F272&lt;=AsOf+30,"Due in next 30 days","Later")))))</f>
        <v/>
      </c>
      <c r="H272" s="15" t="str">
        <f aca="false">IF($F272="","",$F272-AsOf)</f>
        <v/>
      </c>
      <c r="I272" s="16" t="str">
        <f aca="false">IF(AND($A272="",$B272="",$C272="",$D272="",$E272=""),"",TRIM(IF($A272="","Name missing. ","")&amp;IF($B272="","Site missing. ","")&amp;IF($D272="","Last service missing. ",IF(NOT(ISNUMBER($D272)),"Last service isn't a date. ",IF(OR($D272&lt;18264,$D272&lt;&gt;INT($D272)),"Last service isn't a valid date. ",IF($D272&gt;AsOf,"Last service is after the as-of date. ",""))))&amp;IF($E272="","Interval missing.",IF(NOT(ISNUMBER($E272)),"Interval must be a number.",IF($E272&lt;&gt;INT($E272),"Interval must be whole months.",IF(OR($E272&lt;1,$E272&gt;240),"Interval must be 1-240 months.",""))))))</f>
        <v/>
      </c>
      <c r="J272" s="17" t="str">
        <f aca="false">IF(AND($A272="",$B272="",$C272="",$D272="",$E272=""),"",IF('Due List'!$B$4="Check details",IF($G272="Check details",ROW(),""),IF('Due List'!$B$4="All records",IF($G272="Check details",ROW()/100000,$F272+ROW()/100000),IF(OR($G272="Overdue",$G272="Due today",$G272="Due in next 30 days"),$F272+ROW()/100000,""))))</f>
        <v/>
      </c>
    </row>
    <row r="273" customFormat="false" ht="15" hidden="false" customHeight="false" outlineLevel="0" collapsed="false">
      <c r="A273" s="11"/>
      <c r="B273" s="11"/>
      <c r="C273" s="11"/>
      <c r="D273" s="12"/>
      <c r="E273" s="13"/>
      <c r="F273" s="14" t="str">
        <f aca="false">IF(OR(AND($A273="",$B273="",$C273="",$D273="",$E273=""),$I273&lt;&gt;""),"",EDATE($D273,$E273))</f>
        <v/>
      </c>
      <c r="G273" s="6" t="str">
        <f aca="false">IF(AND($A273="",$B273="",$C273="",$D273="",$E273=""),"",IF($I273&lt;&gt;"","Check details",IF($F273&lt;AsOf,"Overdue",IF($F273=AsOf,"Due today",IF($F273&lt;=AsOf+30,"Due in next 30 days","Later")))))</f>
        <v/>
      </c>
      <c r="H273" s="15" t="str">
        <f aca="false">IF($F273="","",$F273-AsOf)</f>
        <v/>
      </c>
      <c r="I273" s="16" t="str">
        <f aca="false">IF(AND($A273="",$B273="",$C273="",$D273="",$E273=""),"",TRIM(IF($A273="","Name missing. ","")&amp;IF($B273="","Site missing. ","")&amp;IF($D273="","Last service missing. ",IF(NOT(ISNUMBER($D273)),"Last service isn't a date. ",IF(OR($D273&lt;18264,$D273&lt;&gt;INT($D273)),"Last service isn't a valid date. ",IF($D273&gt;AsOf,"Last service is after the as-of date. ",""))))&amp;IF($E273="","Interval missing.",IF(NOT(ISNUMBER($E273)),"Interval must be a number.",IF($E273&lt;&gt;INT($E273),"Interval must be whole months.",IF(OR($E273&lt;1,$E273&gt;240),"Interval must be 1-240 months.",""))))))</f>
        <v/>
      </c>
      <c r="J273" s="17" t="str">
        <f aca="false">IF(AND($A273="",$B273="",$C273="",$D273="",$E273=""),"",IF('Due List'!$B$4="Check details",IF($G273="Check details",ROW(),""),IF('Due List'!$B$4="All records",IF($G273="Check details",ROW()/100000,$F273+ROW()/100000),IF(OR($G273="Overdue",$G273="Due today",$G273="Due in next 30 days"),$F273+ROW()/100000,""))))</f>
        <v/>
      </c>
    </row>
    <row r="274" customFormat="false" ht="15" hidden="false" customHeight="false" outlineLevel="0" collapsed="false">
      <c r="A274" s="11"/>
      <c r="B274" s="11"/>
      <c r="C274" s="11"/>
      <c r="D274" s="12"/>
      <c r="E274" s="13"/>
      <c r="F274" s="14" t="str">
        <f aca="false">IF(OR(AND($A274="",$B274="",$C274="",$D274="",$E274=""),$I274&lt;&gt;""),"",EDATE($D274,$E274))</f>
        <v/>
      </c>
      <c r="G274" s="6" t="str">
        <f aca="false">IF(AND($A274="",$B274="",$C274="",$D274="",$E274=""),"",IF($I274&lt;&gt;"","Check details",IF($F274&lt;AsOf,"Overdue",IF($F274=AsOf,"Due today",IF($F274&lt;=AsOf+30,"Due in next 30 days","Later")))))</f>
        <v/>
      </c>
      <c r="H274" s="15" t="str">
        <f aca="false">IF($F274="","",$F274-AsOf)</f>
        <v/>
      </c>
      <c r="I274" s="16" t="str">
        <f aca="false">IF(AND($A274="",$B274="",$C274="",$D274="",$E274=""),"",TRIM(IF($A274="","Name missing. ","")&amp;IF($B274="","Site missing. ","")&amp;IF($D274="","Last service missing. ",IF(NOT(ISNUMBER($D274)),"Last service isn't a date. ",IF(OR($D274&lt;18264,$D274&lt;&gt;INT($D274)),"Last service isn't a valid date. ",IF($D274&gt;AsOf,"Last service is after the as-of date. ",""))))&amp;IF($E274="","Interval missing.",IF(NOT(ISNUMBER($E274)),"Interval must be a number.",IF($E274&lt;&gt;INT($E274),"Interval must be whole months.",IF(OR($E274&lt;1,$E274&gt;240),"Interval must be 1-240 months.",""))))))</f>
        <v/>
      </c>
      <c r="J274" s="17" t="str">
        <f aca="false">IF(AND($A274="",$B274="",$C274="",$D274="",$E274=""),"",IF('Due List'!$B$4="Check details",IF($G274="Check details",ROW(),""),IF('Due List'!$B$4="All records",IF($G274="Check details",ROW()/100000,$F274+ROW()/100000),IF(OR($G274="Overdue",$G274="Due today",$G274="Due in next 30 days"),$F274+ROW()/100000,""))))</f>
        <v/>
      </c>
    </row>
    <row r="275" customFormat="false" ht="15" hidden="false" customHeight="false" outlineLevel="0" collapsed="false">
      <c r="A275" s="11"/>
      <c r="B275" s="11"/>
      <c r="C275" s="11"/>
      <c r="D275" s="12"/>
      <c r="E275" s="13"/>
      <c r="F275" s="14" t="str">
        <f aca="false">IF(OR(AND($A275="",$B275="",$C275="",$D275="",$E275=""),$I275&lt;&gt;""),"",EDATE($D275,$E275))</f>
        <v/>
      </c>
      <c r="G275" s="6" t="str">
        <f aca="false">IF(AND($A275="",$B275="",$C275="",$D275="",$E275=""),"",IF($I275&lt;&gt;"","Check details",IF($F275&lt;AsOf,"Overdue",IF($F275=AsOf,"Due today",IF($F275&lt;=AsOf+30,"Due in next 30 days","Later")))))</f>
        <v/>
      </c>
      <c r="H275" s="15" t="str">
        <f aca="false">IF($F275="","",$F275-AsOf)</f>
        <v/>
      </c>
      <c r="I275" s="16" t="str">
        <f aca="false">IF(AND($A275="",$B275="",$C275="",$D275="",$E275=""),"",TRIM(IF($A275="","Name missing. ","")&amp;IF($B275="","Site missing. ","")&amp;IF($D275="","Last service missing. ",IF(NOT(ISNUMBER($D275)),"Last service isn't a date. ",IF(OR($D275&lt;18264,$D275&lt;&gt;INT($D275)),"Last service isn't a valid date. ",IF($D275&gt;AsOf,"Last service is after the as-of date. ",""))))&amp;IF($E275="","Interval missing.",IF(NOT(ISNUMBER($E275)),"Interval must be a number.",IF($E275&lt;&gt;INT($E275),"Interval must be whole months.",IF(OR($E275&lt;1,$E275&gt;240),"Interval must be 1-240 months.",""))))))</f>
        <v/>
      </c>
      <c r="J275" s="17" t="str">
        <f aca="false">IF(AND($A275="",$B275="",$C275="",$D275="",$E275=""),"",IF('Due List'!$B$4="Check details",IF($G275="Check details",ROW(),""),IF('Due List'!$B$4="All records",IF($G275="Check details",ROW()/100000,$F275+ROW()/100000),IF(OR($G275="Overdue",$G275="Due today",$G275="Due in next 30 days"),$F275+ROW()/100000,""))))</f>
        <v/>
      </c>
    </row>
    <row r="276" customFormat="false" ht="15" hidden="false" customHeight="false" outlineLevel="0" collapsed="false">
      <c r="A276" s="11"/>
      <c r="B276" s="11"/>
      <c r="C276" s="11"/>
      <c r="D276" s="12"/>
      <c r="E276" s="13"/>
      <c r="F276" s="14" t="str">
        <f aca="false">IF(OR(AND($A276="",$B276="",$C276="",$D276="",$E276=""),$I276&lt;&gt;""),"",EDATE($D276,$E276))</f>
        <v/>
      </c>
      <c r="G276" s="6" t="str">
        <f aca="false">IF(AND($A276="",$B276="",$C276="",$D276="",$E276=""),"",IF($I276&lt;&gt;"","Check details",IF($F276&lt;AsOf,"Overdue",IF($F276=AsOf,"Due today",IF($F276&lt;=AsOf+30,"Due in next 30 days","Later")))))</f>
        <v/>
      </c>
      <c r="H276" s="15" t="str">
        <f aca="false">IF($F276="","",$F276-AsOf)</f>
        <v/>
      </c>
      <c r="I276" s="16" t="str">
        <f aca="false">IF(AND($A276="",$B276="",$C276="",$D276="",$E276=""),"",TRIM(IF($A276="","Name missing. ","")&amp;IF($B276="","Site missing. ","")&amp;IF($D276="","Last service missing. ",IF(NOT(ISNUMBER($D276)),"Last service isn't a date. ",IF(OR($D276&lt;18264,$D276&lt;&gt;INT($D276)),"Last service isn't a valid date. ",IF($D276&gt;AsOf,"Last service is after the as-of date. ",""))))&amp;IF($E276="","Interval missing.",IF(NOT(ISNUMBER($E276)),"Interval must be a number.",IF($E276&lt;&gt;INT($E276),"Interval must be whole months.",IF(OR($E276&lt;1,$E276&gt;240),"Interval must be 1-240 months.",""))))))</f>
        <v/>
      </c>
      <c r="J276" s="17" t="str">
        <f aca="false">IF(AND($A276="",$B276="",$C276="",$D276="",$E276=""),"",IF('Due List'!$B$4="Check details",IF($G276="Check details",ROW(),""),IF('Due List'!$B$4="All records",IF($G276="Check details",ROW()/100000,$F276+ROW()/100000),IF(OR($G276="Overdue",$G276="Due today",$G276="Due in next 30 days"),$F276+ROW()/100000,""))))</f>
        <v/>
      </c>
    </row>
    <row r="277" customFormat="false" ht="15" hidden="false" customHeight="false" outlineLevel="0" collapsed="false">
      <c r="A277" s="11"/>
      <c r="B277" s="11"/>
      <c r="C277" s="11"/>
      <c r="D277" s="12"/>
      <c r="E277" s="13"/>
      <c r="F277" s="14" t="str">
        <f aca="false">IF(OR(AND($A277="",$B277="",$C277="",$D277="",$E277=""),$I277&lt;&gt;""),"",EDATE($D277,$E277))</f>
        <v/>
      </c>
      <c r="G277" s="6" t="str">
        <f aca="false">IF(AND($A277="",$B277="",$C277="",$D277="",$E277=""),"",IF($I277&lt;&gt;"","Check details",IF($F277&lt;AsOf,"Overdue",IF($F277=AsOf,"Due today",IF($F277&lt;=AsOf+30,"Due in next 30 days","Later")))))</f>
        <v/>
      </c>
      <c r="H277" s="15" t="str">
        <f aca="false">IF($F277="","",$F277-AsOf)</f>
        <v/>
      </c>
      <c r="I277" s="16" t="str">
        <f aca="false">IF(AND($A277="",$B277="",$C277="",$D277="",$E277=""),"",TRIM(IF($A277="","Name missing. ","")&amp;IF($B277="","Site missing. ","")&amp;IF($D277="","Last service missing. ",IF(NOT(ISNUMBER($D277)),"Last service isn't a date. ",IF(OR($D277&lt;18264,$D277&lt;&gt;INT($D277)),"Last service isn't a valid date. ",IF($D277&gt;AsOf,"Last service is after the as-of date. ",""))))&amp;IF($E277="","Interval missing.",IF(NOT(ISNUMBER($E277)),"Interval must be a number.",IF($E277&lt;&gt;INT($E277),"Interval must be whole months.",IF(OR($E277&lt;1,$E277&gt;240),"Interval must be 1-240 months.",""))))))</f>
        <v/>
      </c>
      <c r="J277" s="17" t="str">
        <f aca="false">IF(AND($A277="",$B277="",$C277="",$D277="",$E277=""),"",IF('Due List'!$B$4="Check details",IF($G277="Check details",ROW(),""),IF('Due List'!$B$4="All records",IF($G277="Check details",ROW()/100000,$F277+ROW()/100000),IF(OR($G277="Overdue",$G277="Due today",$G277="Due in next 30 days"),$F277+ROW()/100000,""))))</f>
        <v/>
      </c>
    </row>
    <row r="278" customFormat="false" ht="15" hidden="false" customHeight="false" outlineLevel="0" collapsed="false">
      <c r="A278" s="11"/>
      <c r="B278" s="11"/>
      <c r="C278" s="11"/>
      <c r="D278" s="12"/>
      <c r="E278" s="13"/>
      <c r="F278" s="14" t="str">
        <f aca="false">IF(OR(AND($A278="",$B278="",$C278="",$D278="",$E278=""),$I278&lt;&gt;""),"",EDATE($D278,$E278))</f>
        <v/>
      </c>
      <c r="G278" s="6" t="str">
        <f aca="false">IF(AND($A278="",$B278="",$C278="",$D278="",$E278=""),"",IF($I278&lt;&gt;"","Check details",IF($F278&lt;AsOf,"Overdue",IF($F278=AsOf,"Due today",IF($F278&lt;=AsOf+30,"Due in next 30 days","Later")))))</f>
        <v/>
      </c>
      <c r="H278" s="15" t="str">
        <f aca="false">IF($F278="","",$F278-AsOf)</f>
        <v/>
      </c>
      <c r="I278" s="16" t="str">
        <f aca="false">IF(AND($A278="",$B278="",$C278="",$D278="",$E278=""),"",TRIM(IF($A278="","Name missing. ","")&amp;IF($B278="","Site missing. ","")&amp;IF($D278="","Last service missing. ",IF(NOT(ISNUMBER($D278)),"Last service isn't a date. ",IF(OR($D278&lt;18264,$D278&lt;&gt;INT($D278)),"Last service isn't a valid date. ",IF($D278&gt;AsOf,"Last service is after the as-of date. ",""))))&amp;IF($E278="","Interval missing.",IF(NOT(ISNUMBER($E278)),"Interval must be a number.",IF($E278&lt;&gt;INT($E278),"Interval must be whole months.",IF(OR($E278&lt;1,$E278&gt;240),"Interval must be 1-240 months.",""))))))</f>
        <v/>
      </c>
      <c r="J278" s="17" t="str">
        <f aca="false">IF(AND($A278="",$B278="",$C278="",$D278="",$E278=""),"",IF('Due List'!$B$4="Check details",IF($G278="Check details",ROW(),""),IF('Due List'!$B$4="All records",IF($G278="Check details",ROW()/100000,$F278+ROW()/100000),IF(OR($G278="Overdue",$G278="Due today",$G278="Due in next 30 days"),$F278+ROW()/100000,""))))</f>
        <v/>
      </c>
    </row>
    <row r="279" customFormat="false" ht="15" hidden="false" customHeight="false" outlineLevel="0" collapsed="false">
      <c r="A279" s="11"/>
      <c r="B279" s="11"/>
      <c r="C279" s="11"/>
      <c r="D279" s="12"/>
      <c r="E279" s="13"/>
      <c r="F279" s="14" t="str">
        <f aca="false">IF(OR(AND($A279="",$B279="",$C279="",$D279="",$E279=""),$I279&lt;&gt;""),"",EDATE($D279,$E279))</f>
        <v/>
      </c>
      <c r="G279" s="6" t="str">
        <f aca="false">IF(AND($A279="",$B279="",$C279="",$D279="",$E279=""),"",IF($I279&lt;&gt;"","Check details",IF($F279&lt;AsOf,"Overdue",IF($F279=AsOf,"Due today",IF($F279&lt;=AsOf+30,"Due in next 30 days","Later")))))</f>
        <v/>
      </c>
      <c r="H279" s="15" t="str">
        <f aca="false">IF($F279="","",$F279-AsOf)</f>
        <v/>
      </c>
      <c r="I279" s="16" t="str">
        <f aca="false">IF(AND($A279="",$B279="",$C279="",$D279="",$E279=""),"",TRIM(IF($A279="","Name missing. ","")&amp;IF($B279="","Site missing. ","")&amp;IF($D279="","Last service missing. ",IF(NOT(ISNUMBER($D279)),"Last service isn't a date. ",IF(OR($D279&lt;18264,$D279&lt;&gt;INT($D279)),"Last service isn't a valid date. ",IF($D279&gt;AsOf,"Last service is after the as-of date. ",""))))&amp;IF($E279="","Interval missing.",IF(NOT(ISNUMBER($E279)),"Interval must be a number.",IF($E279&lt;&gt;INT($E279),"Interval must be whole months.",IF(OR($E279&lt;1,$E279&gt;240),"Interval must be 1-240 months.",""))))))</f>
        <v/>
      </c>
      <c r="J279" s="17" t="str">
        <f aca="false">IF(AND($A279="",$B279="",$C279="",$D279="",$E279=""),"",IF('Due List'!$B$4="Check details",IF($G279="Check details",ROW(),""),IF('Due List'!$B$4="All records",IF($G279="Check details",ROW()/100000,$F279+ROW()/100000),IF(OR($G279="Overdue",$G279="Due today",$G279="Due in next 30 days"),$F279+ROW()/100000,""))))</f>
        <v/>
      </c>
    </row>
    <row r="280" customFormat="false" ht="15" hidden="false" customHeight="false" outlineLevel="0" collapsed="false">
      <c r="A280" s="11"/>
      <c r="B280" s="11"/>
      <c r="C280" s="11"/>
      <c r="D280" s="12"/>
      <c r="E280" s="13"/>
      <c r="F280" s="14" t="str">
        <f aca="false">IF(OR(AND($A280="",$B280="",$C280="",$D280="",$E280=""),$I280&lt;&gt;""),"",EDATE($D280,$E280))</f>
        <v/>
      </c>
      <c r="G280" s="6" t="str">
        <f aca="false">IF(AND($A280="",$B280="",$C280="",$D280="",$E280=""),"",IF($I280&lt;&gt;"","Check details",IF($F280&lt;AsOf,"Overdue",IF($F280=AsOf,"Due today",IF($F280&lt;=AsOf+30,"Due in next 30 days","Later")))))</f>
        <v/>
      </c>
      <c r="H280" s="15" t="str">
        <f aca="false">IF($F280="","",$F280-AsOf)</f>
        <v/>
      </c>
      <c r="I280" s="16" t="str">
        <f aca="false">IF(AND($A280="",$B280="",$C280="",$D280="",$E280=""),"",TRIM(IF($A280="","Name missing. ","")&amp;IF($B280="","Site missing. ","")&amp;IF($D280="","Last service missing. ",IF(NOT(ISNUMBER($D280)),"Last service isn't a date. ",IF(OR($D280&lt;18264,$D280&lt;&gt;INT($D280)),"Last service isn't a valid date. ",IF($D280&gt;AsOf,"Last service is after the as-of date. ",""))))&amp;IF($E280="","Interval missing.",IF(NOT(ISNUMBER($E280)),"Interval must be a number.",IF($E280&lt;&gt;INT($E280),"Interval must be whole months.",IF(OR($E280&lt;1,$E280&gt;240),"Interval must be 1-240 months.",""))))))</f>
        <v/>
      </c>
      <c r="J280" s="17" t="str">
        <f aca="false">IF(AND($A280="",$B280="",$C280="",$D280="",$E280=""),"",IF('Due List'!$B$4="Check details",IF($G280="Check details",ROW(),""),IF('Due List'!$B$4="All records",IF($G280="Check details",ROW()/100000,$F280+ROW()/100000),IF(OR($G280="Overdue",$G280="Due today",$G280="Due in next 30 days"),$F280+ROW()/100000,""))))</f>
        <v/>
      </c>
    </row>
    <row r="281" customFormat="false" ht="15" hidden="false" customHeight="false" outlineLevel="0" collapsed="false">
      <c r="A281" s="11"/>
      <c r="B281" s="11"/>
      <c r="C281" s="11"/>
      <c r="D281" s="12"/>
      <c r="E281" s="13"/>
      <c r="F281" s="14" t="str">
        <f aca="false">IF(OR(AND($A281="",$B281="",$C281="",$D281="",$E281=""),$I281&lt;&gt;""),"",EDATE($D281,$E281))</f>
        <v/>
      </c>
      <c r="G281" s="6" t="str">
        <f aca="false">IF(AND($A281="",$B281="",$C281="",$D281="",$E281=""),"",IF($I281&lt;&gt;"","Check details",IF($F281&lt;AsOf,"Overdue",IF($F281=AsOf,"Due today",IF($F281&lt;=AsOf+30,"Due in next 30 days","Later")))))</f>
        <v/>
      </c>
      <c r="H281" s="15" t="str">
        <f aca="false">IF($F281="","",$F281-AsOf)</f>
        <v/>
      </c>
      <c r="I281" s="16" t="str">
        <f aca="false">IF(AND($A281="",$B281="",$C281="",$D281="",$E281=""),"",TRIM(IF($A281="","Name missing. ","")&amp;IF($B281="","Site missing. ","")&amp;IF($D281="","Last service missing. ",IF(NOT(ISNUMBER($D281)),"Last service isn't a date. ",IF(OR($D281&lt;18264,$D281&lt;&gt;INT($D281)),"Last service isn't a valid date. ",IF($D281&gt;AsOf,"Last service is after the as-of date. ",""))))&amp;IF($E281="","Interval missing.",IF(NOT(ISNUMBER($E281)),"Interval must be a number.",IF($E281&lt;&gt;INT($E281),"Interval must be whole months.",IF(OR($E281&lt;1,$E281&gt;240),"Interval must be 1-240 months.",""))))))</f>
        <v/>
      </c>
      <c r="J281" s="17" t="str">
        <f aca="false">IF(AND($A281="",$B281="",$C281="",$D281="",$E281=""),"",IF('Due List'!$B$4="Check details",IF($G281="Check details",ROW(),""),IF('Due List'!$B$4="All records",IF($G281="Check details",ROW()/100000,$F281+ROW()/100000),IF(OR($G281="Overdue",$G281="Due today",$G281="Due in next 30 days"),$F281+ROW()/100000,""))))</f>
        <v/>
      </c>
    </row>
    <row r="282" customFormat="false" ht="15" hidden="false" customHeight="false" outlineLevel="0" collapsed="false">
      <c r="A282" s="11"/>
      <c r="B282" s="11"/>
      <c r="C282" s="11"/>
      <c r="D282" s="12"/>
      <c r="E282" s="13"/>
      <c r="F282" s="14" t="str">
        <f aca="false">IF(OR(AND($A282="",$B282="",$C282="",$D282="",$E282=""),$I282&lt;&gt;""),"",EDATE($D282,$E282))</f>
        <v/>
      </c>
      <c r="G282" s="6" t="str">
        <f aca="false">IF(AND($A282="",$B282="",$C282="",$D282="",$E282=""),"",IF($I282&lt;&gt;"","Check details",IF($F282&lt;AsOf,"Overdue",IF($F282=AsOf,"Due today",IF($F282&lt;=AsOf+30,"Due in next 30 days","Later")))))</f>
        <v/>
      </c>
      <c r="H282" s="15" t="str">
        <f aca="false">IF($F282="","",$F282-AsOf)</f>
        <v/>
      </c>
      <c r="I282" s="16" t="str">
        <f aca="false">IF(AND($A282="",$B282="",$C282="",$D282="",$E282=""),"",TRIM(IF($A282="","Name missing. ","")&amp;IF($B282="","Site missing. ","")&amp;IF($D282="","Last service missing. ",IF(NOT(ISNUMBER($D282)),"Last service isn't a date. ",IF(OR($D282&lt;18264,$D282&lt;&gt;INT($D282)),"Last service isn't a valid date. ",IF($D282&gt;AsOf,"Last service is after the as-of date. ",""))))&amp;IF($E282="","Interval missing.",IF(NOT(ISNUMBER($E282)),"Interval must be a number.",IF($E282&lt;&gt;INT($E282),"Interval must be whole months.",IF(OR($E282&lt;1,$E282&gt;240),"Interval must be 1-240 months.",""))))))</f>
        <v/>
      </c>
      <c r="J282" s="17" t="str">
        <f aca="false">IF(AND($A282="",$B282="",$C282="",$D282="",$E282=""),"",IF('Due List'!$B$4="Check details",IF($G282="Check details",ROW(),""),IF('Due List'!$B$4="All records",IF($G282="Check details",ROW()/100000,$F282+ROW()/100000),IF(OR($G282="Overdue",$G282="Due today",$G282="Due in next 30 days"),$F282+ROW()/100000,""))))</f>
        <v/>
      </c>
    </row>
    <row r="283" customFormat="false" ht="15" hidden="false" customHeight="false" outlineLevel="0" collapsed="false">
      <c r="A283" s="11"/>
      <c r="B283" s="11"/>
      <c r="C283" s="11"/>
      <c r="D283" s="12"/>
      <c r="E283" s="13"/>
      <c r="F283" s="14" t="str">
        <f aca="false">IF(OR(AND($A283="",$B283="",$C283="",$D283="",$E283=""),$I283&lt;&gt;""),"",EDATE($D283,$E283))</f>
        <v/>
      </c>
      <c r="G283" s="6" t="str">
        <f aca="false">IF(AND($A283="",$B283="",$C283="",$D283="",$E283=""),"",IF($I283&lt;&gt;"","Check details",IF($F283&lt;AsOf,"Overdue",IF($F283=AsOf,"Due today",IF($F283&lt;=AsOf+30,"Due in next 30 days","Later")))))</f>
        <v/>
      </c>
      <c r="H283" s="15" t="str">
        <f aca="false">IF($F283="","",$F283-AsOf)</f>
        <v/>
      </c>
      <c r="I283" s="16" t="str">
        <f aca="false">IF(AND($A283="",$B283="",$C283="",$D283="",$E283=""),"",TRIM(IF($A283="","Name missing. ","")&amp;IF($B283="","Site missing. ","")&amp;IF($D283="","Last service missing. ",IF(NOT(ISNUMBER($D283)),"Last service isn't a date. ",IF(OR($D283&lt;18264,$D283&lt;&gt;INT($D283)),"Last service isn't a valid date. ",IF($D283&gt;AsOf,"Last service is after the as-of date. ",""))))&amp;IF($E283="","Interval missing.",IF(NOT(ISNUMBER($E283)),"Interval must be a number.",IF($E283&lt;&gt;INT($E283),"Interval must be whole months.",IF(OR($E283&lt;1,$E283&gt;240),"Interval must be 1-240 months.",""))))))</f>
        <v/>
      </c>
      <c r="J283" s="17" t="str">
        <f aca="false">IF(AND($A283="",$B283="",$C283="",$D283="",$E283=""),"",IF('Due List'!$B$4="Check details",IF($G283="Check details",ROW(),""),IF('Due List'!$B$4="All records",IF($G283="Check details",ROW()/100000,$F283+ROW()/100000),IF(OR($G283="Overdue",$G283="Due today",$G283="Due in next 30 days"),$F283+ROW()/100000,""))))</f>
        <v/>
      </c>
    </row>
    <row r="284" customFormat="false" ht="15" hidden="false" customHeight="false" outlineLevel="0" collapsed="false">
      <c r="A284" s="11"/>
      <c r="B284" s="11"/>
      <c r="C284" s="11"/>
      <c r="D284" s="12"/>
      <c r="E284" s="13"/>
      <c r="F284" s="14" t="str">
        <f aca="false">IF(OR(AND($A284="",$B284="",$C284="",$D284="",$E284=""),$I284&lt;&gt;""),"",EDATE($D284,$E284))</f>
        <v/>
      </c>
      <c r="G284" s="6" t="str">
        <f aca="false">IF(AND($A284="",$B284="",$C284="",$D284="",$E284=""),"",IF($I284&lt;&gt;"","Check details",IF($F284&lt;AsOf,"Overdue",IF($F284=AsOf,"Due today",IF($F284&lt;=AsOf+30,"Due in next 30 days","Later")))))</f>
        <v/>
      </c>
      <c r="H284" s="15" t="str">
        <f aca="false">IF($F284="","",$F284-AsOf)</f>
        <v/>
      </c>
      <c r="I284" s="16" t="str">
        <f aca="false">IF(AND($A284="",$B284="",$C284="",$D284="",$E284=""),"",TRIM(IF($A284="","Name missing. ","")&amp;IF($B284="","Site missing. ","")&amp;IF($D284="","Last service missing. ",IF(NOT(ISNUMBER($D284)),"Last service isn't a date. ",IF(OR($D284&lt;18264,$D284&lt;&gt;INT($D284)),"Last service isn't a valid date. ",IF($D284&gt;AsOf,"Last service is after the as-of date. ",""))))&amp;IF($E284="","Interval missing.",IF(NOT(ISNUMBER($E284)),"Interval must be a number.",IF($E284&lt;&gt;INT($E284),"Interval must be whole months.",IF(OR($E284&lt;1,$E284&gt;240),"Interval must be 1-240 months.",""))))))</f>
        <v/>
      </c>
      <c r="J284" s="17" t="str">
        <f aca="false">IF(AND($A284="",$B284="",$C284="",$D284="",$E284=""),"",IF('Due List'!$B$4="Check details",IF($G284="Check details",ROW(),""),IF('Due List'!$B$4="All records",IF($G284="Check details",ROW()/100000,$F284+ROW()/100000),IF(OR($G284="Overdue",$G284="Due today",$G284="Due in next 30 days"),$F284+ROW()/100000,""))))</f>
        <v/>
      </c>
    </row>
    <row r="285" customFormat="false" ht="15" hidden="false" customHeight="false" outlineLevel="0" collapsed="false">
      <c r="A285" s="11"/>
      <c r="B285" s="11"/>
      <c r="C285" s="11"/>
      <c r="D285" s="12"/>
      <c r="E285" s="13"/>
      <c r="F285" s="14" t="str">
        <f aca="false">IF(OR(AND($A285="",$B285="",$C285="",$D285="",$E285=""),$I285&lt;&gt;""),"",EDATE($D285,$E285))</f>
        <v/>
      </c>
      <c r="G285" s="6" t="str">
        <f aca="false">IF(AND($A285="",$B285="",$C285="",$D285="",$E285=""),"",IF($I285&lt;&gt;"","Check details",IF($F285&lt;AsOf,"Overdue",IF($F285=AsOf,"Due today",IF($F285&lt;=AsOf+30,"Due in next 30 days","Later")))))</f>
        <v/>
      </c>
      <c r="H285" s="15" t="str">
        <f aca="false">IF($F285="","",$F285-AsOf)</f>
        <v/>
      </c>
      <c r="I285" s="16" t="str">
        <f aca="false">IF(AND($A285="",$B285="",$C285="",$D285="",$E285=""),"",TRIM(IF($A285="","Name missing. ","")&amp;IF($B285="","Site missing. ","")&amp;IF($D285="","Last service missing. ",IF(NOT(ISNUMBER($D285)),"Last service isn't a date. ",IF(OR($D285&lt;18264,$D285&lt;&gt;INT($D285)),"Last service isn't a valid date. ",IF($D285&gt;AsOf,"Last service is after the as-of date. ",""))))&amp;IF($E285="","Interval missing.",IF(NOT(ISNUMBER($E285)),"Interval must be a number.",IF($E285&lt;&gt;INT($E285),"Interval must be whole months.",IF(OR($E285&lt;1,$E285&gt;240),"Interval must be 1-240 months.",""))))))</f>
        <v/>
      </c>
      <c r="J285" s="17" t="str">
        <f aca="false">IF(AND($A285="",$B285="",$C285="",$D285="",$E285=""),"",IF('Due List'!$B$4="Check details",IF($G285="Check details",ROW(),""),IF('Due List'!$B$4="All records",IF($G285="Check details",ROW()/100000,$F285+ROW()/100000),IF(OR($G285="Overdue",$G285="Due today",$G285="Due in next 30 days"),$F285+ROW()/100000,""))))</f>
        <v/>
      </c>
    </row>
    <row r="286" customFormat="false" ht="15" hidden="false" customHeight="false" outlineLevel="0" collapsed="false">
      <c r="A286" s="11"/>
      <c r="B286" s="11"/>
      <c r="C286" s="11"/>
      <c r="D286" s="12"/>
      <c r="E286" s="13"/>
      <c r="F286" s="14" t="str">
        <f aca="false">IF(OR(AND($A286="",$B286="",$C286="",$D286="",$E286=""),$I286&lt;&gt;""),"",EDATE($D286,$E286))</f>
        <v/>
      </c>
      <c r="G286" s="6" t="str">
        <f aca="false">IF(AND($A286="",$B286="",$C286="",$D286="",$E286=""),"",IF($I286&lt;&gt;"","Check details",IF($F286&lt;AsOf,"Overdue",IF($F286=AsOf,"Due today",IF($F286&lt;=AsOf+30,"Due in next 30 days","Later")))))</f>
        <v/>
      </c>
      <c r="H286" s="15" t="str">
        <f aca="false">IF($F286="","",$F286-AsOf)</f>
        <v/>
      </c>
      <c r="I286" s="16" t="str">
        <f aca="false">IF(AND($A286="",$B286="",$C286="",$D286="",$E286=""),"",TRIM(IF($A286="","Name missing. ","")&amp;IF($B286="","Site missing. ","")&amp;IF($D286="","Last service missing. ",IF(NOT(ISNUMBER($D286)),"Last service isn't a date. ",IF(OR($D286&lt;18264,$D286&lt;&gt;INT($D286)),"Last service isn't a valid date. ",IF($D286&gt;AsOf,"Last service is after the as-of date. ",""))))&amp;IF($E286="","Interval missing.",IF(NOT(ISNUMBER($E286)),"Interval must be a number.",IF($E286&lt;&gt;INT($E286),"Interval must be whole months.",IF(OR($E286&lt;1,$E286&gt;240),"Interval must be 1-240 months.",""))))))</f>
        <v/>
      </c>
      <c r="J286" s="17" t="str">
        <f aca="false">IF(AND($A286="",$B286="",$C286="",$D286="",$E286=""),"",IF('Due List'!$B$4="Check details",IF($G286="Check details",ROW(),""),IF('Due List'!$B$4="All records",IF($G286="Check details",ROW()/100000,$F286+ROW()/100000),IF(OR($G286="Overdue",$G286="Due today",$G286="Due in next 30 days"),$F286+ROW()/100000,""))))</f>
        <v/>
      </c>
    </row>
    <row r="287" customFormat="false" ht="15" hidden="false" customHeight="false" outlineLevel="0" collapsed="false">
      <c r="A287" s="11"/>
      <c r="B287" s="11"/>
      <c r="C287" s="11"/>
      <c r="D287" s="12"/>
      <c r="E287" s="13"/>
      <c r="F287" s="14" t="str">
        <f aca="false">IF(OR(AND($A287="",$B287="",$C287="",$D287="",$E287=""),$I287&lt;&gt;""),"",EDATE($D287,$E287))</f>
        <v/>
      </c>
      <c r="G287" s="6" t="str">
        <f aca="false">IF(AND($A287="",$B287="",$C287="",$D287="",$E287=""),"",IF($I287&lt;&gt;"","Check details",IF($F287&lt;AsOf,"Overdue",IF($F287=AsOf,"Due today",IF($F287&lt;=AsOf+30,"Due in next 30 days","Later")))))</f>
        <v/>
      </c>
      <c r="H287" s="15" t="str">
        <f aca="false">IF($F287="","",$F287-AsOf)</f>
        <v/>
      </c>
      <c r="I287" s="16" t="str">
        <f aca="false">IF(AND($A287="",$B287="",$C287="",$D287="",$E287=""),"",TRIM(IF($A287="","Name missing. ","")&amp;IF($B287="","Site missing. ","")&amp;IF($D287="","Last service missing. ",IF(NOT(ISNUMBER($D287)),"Last service isn't a date. ",IF(OR($D287&lt;18264,$D287&lt;&gt;INT($D287)),"Last service isn't a valid date. ",IF($D287&gt;AsOf,"Last service is after the as-of date. ",""))))&amp;IF($E287="","Interval missing.",IF(NOT(ISNUMBER($E287)),"Interval must be a number.",IF($E287&lt;&gt;INT($E287),"Interval must be whole months.",IF(OR($E287&lt;1,$E287&gt;240),"Interval must be 1-240 months.",""))))))</f>
        <v/>
      </c>
      <c r="J287" s="17" t="str">
        <f aca="false">IF(AND($A287="",$B287="",$C287="",$D287="",$E287=""),"",IF('Due List'!$B$4="Check details",IF($G287="Check details",ROW(),""),IF('Due List'!$B$4="All records",IF($G287="Check details",ROW()/100000,$F287+ROW()/100000),IF(OR($G287="Overdue",$G287="Due today",$G287="Due in next 30 days"),$F287+ROW()/100000,""))))</f>
        <v/>
      </c>
    </row>
    <row r="288" customFormat="false" ht="15" hidden="false" customHeight="false" outlineLevel="0" collapsed="false">
      <c r="A288" s="11"/>
      <c r="B288" s="11"/>
      <c r="C288" s="11"/>
      <c r="D288" s="12"/>
      <c r="E288" s="13"/>
      <c r="F288" s="14" t="str">
        <f aca="false">IF(OR(AND($A288="",$B288="",$C288="",$D288="",$E288=""),$I288&lt;&gt;""),"",EDATE($D288,$E288))</f>
        <v/>
      </c>
      <c r="G288" s="6" t="str">
        <f aca="false">IF(AND($A288="",$B288="",$C288="",$D288="",$E288=""),"",IF($I288&lt;&gt;"","Check details",IF($F288&lt;AsOf,"Overdue",IF($F288=AsOf,"Due today",IF($F288&lt;=AsOf+30,"Due in next 30 days","Later")))))</f>
        <v/>
      </c>
      <c r="H288" s="15" t="str">
        <f aca="false">IF($F288="","",$F288-AsOf)</f>
        <v/>
      </c>
      <c r="I288" s="16" t="str">
        <f aca="false">IF(AND($A288="",$B288="",$C288="",$D288="",$E288=""),"",TRIM(IF($A288="","Name missing. ","")&amp;IF($B288="","Site missing. ","")&amp;IF($D288="","Last service missing. ",IF(NOT(ISNUMBER($D288)),"Last service isn't a date. ",IF(OR($D288&lt;18264,$D288&lt;&gt;INT($D288)),"Last service isn't a valid date. ",IF($D288&gt;AsOf,"Last service is after the as-of date. ",""))))&amp;IF($E288="","Interval missing.",IF(NOT(ISNUMBER($E288)),"Interval must be a number.",IF($E288&lt;&gt;INT($E288),"Interval must be whole months.",IF(OR($E288&lt;1,$E288&gt;240),"Interval must be 1-240 months.",""))))))</f>
        <v/>
      </c>
      <c r="J288" s="17" t="str">
        <f aca="false">IF(AND($A288="",$B288="",$C288="",$D288="",$E288=""),"",IF('Due List'!$B$4="Check details",IF($G288="Check details",ROW(),""),IF('Due List'!$B$4="All records",IF($G288="Check details",ROW()/100000,$F288+ROW()/100000),IF(OR($G288="Overdue",$G288="Due today",$G288="Due in next 30 days"),$F288+ROW()/100000,""))))</f>
        <v/>
      </c>
    </row>
    <row r="289" customFormat="false" ht="15" hidden="false" customHeight="false" outlineLevel="0" collapsed="false">
      <c r="A289" s="11"/>
      <c r="B289" s="11"/>
      <c r="C289" s="11"/>
      <c r="D289" s="12"/>
      <c r="E289" s="13"/>
      <c r="F289" s="14" t="str">
        <f aca="false">IF(OR(AND($A289="",$B289="",$C289="",$D289="",$E289=""),$I289&lt;&gt;""),"",EDATE($D289,$E289))</f>
        <v/>
      </c>
      <c r="G289" s="6" t="str">
        <f aca="false">IF(AND($A289="",$B289="",$C289="",$D289="",$E289=""),"",IF($I289&lt;&gt;"","Check details",IF($F289&lt;AsOf,"Overdue",IF($F289=AsOf,"Due today",IF($F289&lt;=AsOf+30,"Due in next 30 days","Later")))))</f>
        <v/>
      </c>
      <c r="H289" s="15" t="str">
        <f aca="false">IF($F289="","",$F289-AsOf)</f>
        <v/>
      </c>
      <c r="I289" s="16" t="str">
        <f aca="false">IF(AND($A289="",$B289="",$C289="",$D289="",$E289=""),"",TRIM(IF($A289="","Name missing. ","")&amp;IF($B289="","Site missing. ","")&amp;IF($D289="","Last service missing. ",IF(NOT(ISNUMBER($D289)),"Last service isn't a date. ",IF(OR($D289&lt;18264,$D289&lt;&gt;INT($D289)),"Last service isn't a valid date. ",IF($D289&gt;AsOf,"Last service is after the as-of date. ",""))))&amp;IF($E289="","Interval missing.",IF(NOT(ISNUMBER($E289)),"Interval must be a number.",IF($E289&lt;&gt;INT($E289),"Interval must be whole months.",IF(OR($E289&lt;1,$E289&gt;240),"Interval must be 1-240 months.",""))))))</f>
        <v/>
      </c>
      <c r="J289" s="17" t="str">
        <f aca="false">IF(AND($A289="",$B289="",$C289="",$D289="",$E289=""),"",IF('Due List'!$B$4="Check details",IF($G289="Check details",ROW(),""),IF('Due List'!$B$4="All records",IF($G289="Check details",ROW()/100000,$F289+ROW()/100000),IF(OR($G289="Overdue",$G289="Due today",$G289="Due in next 30 days"),$F289+ROW()/100000,""))))</f>
        <v/>
      </c>
    </row>
    <row r="290" customFormat="false" ht="15" hidden="false" customHeight="false" outlineLevel="0" collapsed="false">
      <c r="A290" s="11"/>
      <c r="B290" s="11"/>
      <c r="C290" s="11"/>
      <c r="D290" s="12"/>
      <c r="E290" s="13"/>
      <c r="F290" s="14" t="str">
        <f aca="false">IF(OR(AND($A290="",$B290="",$C290="",$D290="",$E290=""),$I290&lt;&gt;""),"",EDATE($D290,$E290))</f>
        <v/>
      </c>
      <c r="G290" s="6" t="str">
        <f aca="false">IF(AND($A290="",$B290="",$C290="",$D290="",$E290=""),"",IF($I290&lt;&gt;"","Check details",IF($F290&lt;AsOf,"Overdue",IF($F290=AsOf,"Due today",IF($F290&lt;=AsOf+30,"Due in next 30 days","Later")))))</f>
        <v/>
      </c>
      <c r="H290" s="15" t="str">
        <f aca="false">IF($F290="","",$F290-AsOf)</f>
        <v/>
      </c>
      <c r="I290" s="16" t="str">
        <f aca="false">IF(AND($A290="",$B290="",$C290="",$D290="",$E290=""),"",TRIM(IF($A290="","Name missing. ","")&amp;IF($B290="","Site missing. ","")&amp;IF($D290="","Last service missing. ",IF(NOT(ISNUMBER($D290)),"Last service isn't a date. ",IF(OR($D290&lt;18264,$D290&lt;&gt;INT($D290)),"Last service isn't a valid date. ",IF($D290&gt;AsOf,"Last service is after the as-of date. ",""))))&amp;IF($E290="","Interval missing.",IF(NOT(ISNUMBER($E290)),"Interval must be a number.",IF($E290&lt;&gt;INT($E290),"Interval must be whole months.",IF(OR($E290&lt;1,$E290&gt;240),"Interval must be 1-240 months.",""))))))</f>
        <v/>
      </c>
      <c r="J290" s="17" t="str">
        <f aca="false">IF(AND($A290="",$B290="",$C290="",$D290="",$E290=""),"",IF('Due List'!$B$4="Check details",IF($G290="Check details",ROW(),""),IF('Due List'!$B$4="All records",IF($G290="Check details",ROW()/100000,$F290+ROW()/100000),IF(OR($G290="Overdue",$G290="Due today",$G290="Due in next 30 days"),$F290+ROW()/100000,""))))</f>
        <v/>
      </c>
    </row>
    <row r="291" customFormat="false" ht="15" hidden="false" customHeight="false" outlineLevel="0" collapsed="false">
      <c r="A291" s="11"/>
      <c r="B291" s="11"/>
      <c r="C291" s="11"/>
      <c r="D291" s="12"/>
      <c r="E291" s="13"/>
      <c r="F291" s="14" t="str">
        <f aca="false">IF(OR(AND($A291="",$B291="",$C291="",$D291="",$E291=""),$I291&lt;&gt;""),"",EDATE($D291,$E291))</f>
        <v/>
      </c>
      <c r="G291" s="6" t="str">
        <f aca="false">IF(AND($A291="",$B291="",$C291="",$D291="",$E291=""),"",IF($I291&lt;&gt;"","Check details",IF($F291&lt;AsOf,"Overdue",IF($F291=AsOf,"Due today",IF($F291&lt;=AsOf+30,"Due in next 30 days","Later")))))</f>
        <v/>
      </c>
      <c r="H291" s="15" t="str">
        <f aca="false">IF($F291="","",$F291-AsOf)</f>
        <v/>
      </c>
      <c r="I291" s="16" t="str">
        <f aca="false">IF(AND($A291="",$B291="",$C291="",$D291="",$E291=""),"",TRIM(IF($A291="","Name missing. ","")&amp;IF($B291="","Site missing. ","")&amp;IF($D291="","Last service missing. ",IF(NOT(ISNUMBER($D291)),"Last service isn't a date. ",IF(OR($D291&lt;18264,$D291&lt;&gt;INT($D291)),"Last service isn't a valid date. ",IF($D291&gt;AsOf,"Last service is after the as-of date. ",""))))&amp;IF($E291="","Interval missing.",IF(NOT(ISNUMBER($E291)),"Interval must be a number.",IF($E291&lt;&gt;INT($E291),"Interval must be whole months.",IF(OR($E291&lt;1,$E291&gt;240),"Interval must be 1-240 months.",""))))))</f>
        <v/>
      </c>
      <c r="J291" s="17" t="str">
        <f aca="false">IF(AND($A291="",$B291="",$C291="",$D291="",$E291=""),"",IF('Due List'!$B$4="Check details",IF($G291="Check details",ROW(),""),IF('Due List'!$B$4="All records",IF($G291="Check details",ROW()/100000,$F291+ROW()/100000),IF(OR($G291="Overdue",$G291="Due today",$G291="Due in next 30 days"),$F291+ROW()/100000,""))))</f>
        <v/>
      </c>
    </row>
    <row r="292" customFormat="false" ht="15" hidden="false" customHeight="false" outlineLevel="0" collapsed="false">
      <c r="A292" s="11"/>
      <c r="B292" s="11"/>
      <c r="C292" s="11"/>
      <c r="D292" s="12"/>
      <c r="E292" s="13"/>
      <c r="F292" s="14" t="str">
        <f aca="false">IF(OR(AND($A292="",$B292="",$C292="",$D292="",$E292=""),$I292&lt;&gt;""),"",EDATE($D292,$E292))</f>
        <v/>
      </c>
      <c r="G292" s="6" t="str">
        <f aca="false">IF(AND($A292="",$B292="",$C292="",$D292="",$E292=""),"",IF($I292&lt;&gt;"","Check details",IF($F292&lt;AsOf,"Overdue",IF($F292=AsOf,"Due today",IF($F292&lt;=AsOf+30,"Due in next 30 days","Later")))))</f>
        <v/>
      </c>
      <c r="H292" s="15" t="str">
        <f aca="false">IF($F292="","",$F292-AsOf)</f>
        <v/>
      </c>
      <c r="I292" s="16" t="str">
        <f aca="false">IF(AND($A292="",$B292="",$C292="",$D292="",$E292=""),"",TRIM(IF($A292="","Name missing. ","")&amp;IF($B292="","Site missing. ","")&amp;IF($D292="","Last service missing. ",IF(NOT(ISNUMBER($D292)),"Last service isn't a date. ",IF(OR($D292&lt;18264,$D292&lt;&gt;INT($D292)),"Last service isn't a valid date. ",IF($D292&gt;AsOf,"Last service is after the as-of date. ",""))))&amp;IF($E292="","Interval missing.",IF(NOT(ISNUMBER($E292)),"Interval must be a number.",IF($E292&lt;&gt;INT($E292),"Interval must be whole months.",IF(OR($E292&lt;1,$E292&gt;240),"Interval must be 1-240 months.",""))))))</f>
        <v/>
      </c>
      <c r="J292" s="17" t="str">
        <f aca="false">IF(AND($A292="",$B292="",$C292="",$D292="",$E292=""),"",IF('Due List'!$B$4="Check details",IF($G292="Check details",ROW(),""),IF('Due List'!$B$4="All records",IF($G292="Check details",ROW()/100000,$F292+ROW()/100000),IF(OR($G292="Overdue",$G292="Due today",$G292="Due in next 30 days"),$F292+ROW()/100000,""))))</f>
        <v/>
      </c>
    </row>
    <row r="293" customFormat="false" ht="15" hidden="false" customHeight="false" outlineLevel="0" collapsed="false">
      <c r="A293" s="11"/>
      <c r="B293" s="11"/>
      <c r="C293" s="11"/>
      <c r="D293" s="12"/>
      <c r="E293" s="13"/>
      <c r="F293" s="14" t="str">
        <f aca="false">IF(OR(AND($A293="",$B293="",$C293="",$D293="",$E293=""),$I293&lt;&gt;""),"",EDATE($D293,$E293))</f>
        <v/>
      </c>
      <c r="G293" s="6" t="str">
        <f aca="false">IF(AND($A293="",$B293="",$C293="",$D293="",$E293=""),"",IF($I293&lt;&gt;"","Check details",IF($F293&lt;AsOf,"Overdue",IF($F293=AsOf,"Due today",IF($F293&lt;=AsOf+30,"Due in next 30 days","Later")))))</f>
        <v/>
      </c>
      <c r="H293" s="15" t="str">
        <f aca="false">IF($F293="","",$F293-AsOf)</f>
        <v/>
      </c>
      <c r="I293" s="16" t="str">
        <f aca="false">IF(AND($A293="",$B293="",$C293="",$D293="",$E293=""),"",TRIM(IF($A293="","Name missing. ","")&amp;IF($B293="","Site missing. ","")&amp;IF($D293="","Last service missing. ",IF(NOT(ISNUMBER($D293)),"Last service isn't a date. ",IF(OR($D293&lt;18264,$D293&lt;&gt;INT($D293)),"Last service isn't a valid date. ",IF($D293&gt;AsOf,"Last service is after the as-of date. ",""))))&amp;IF($E293="","Interval missing.",IF(NOT(ISNUMBER($E293)),"Interval must be a number.",IF($E293&lt;&gt;INT($E293),"Interval must be whole months.",IF(OR($E293&lt;1,$E293&gt;240),"Interval must be 1-240 months.",""))))))</f>
        <v/>
      </c>
      <c r="J293" s="17" t="str">
        <f aca="false">IF(AND($A293="",$B293="",$C293="",$D293="",$E293=""),"",IF('Due List'!$B$4="Check details",IF($G293="Check details",ROW(),""),IF('Due List'!$B$4="All records",IF($G293="Check details",ROW()/100000,$F293+ROW()/100000),IF(OR($G293="Overdue",$G293="Due today",$G293="Due in next 30 days"),$F293+ROW()/100000,""))))</f>
        <v/>
      </c>
    </row>
    <row r="294" customFormat="false" ht="15" hidden="false" customHeight="false" outlineLevel="0" collapsed="false">
      <c r="A294" s="11"/>
      <c r="B294" s="11"/>
      <c r="C294" s="11"/>
      <c r="D294" s="12"/>
      <c r="E294" s="13"/>
      <c r="F294" s="14" t="str">
        <f aca="false">IF(OR(AND($A294="",$B294="",$C294="",$D294="",$E294=""),$I294&lt;&gt;""),"",EDATE($D294,$E294))</f>
        <v/>
      </c>
      <c r="G294" s="6" t="str">
        <f aca="false">IF(AND($A294="",$B294="",$C294="",$D294="",$E294=""),"",IF($I294&lt;&gt;"","Check details",IF($F294&lt;AsOf,"Overdue",IF($F294=AsOf,"Due today",IF($F294&lt;=AsOf+30,"Due in next 30 days","Later")))))</f>
        <v/>
      </c>
      <c r="H294" s="15" t="str">
        <f aca="false">IF($F294="","",$F294-AsOf)</f>
        <v/>
      </c>
      <c r="I294" s="16" t="str">
        <f aca="false">IF(AND($A294="",$B294="",$C294="",$D294="",$E294=""),"",TRIM(IF($A294="","Name missing. ","")&amp;IF($B294="","Site missing. ","")&amp;IF($D294="","Last service missing. ",IF(NOT(ISNUMBER($D294)),"Last service isn't a date. ",IF(OR($D294&lt;18264,$D294&lt;&gt;INT($D294)),"Last service isn't a valid date. ",IF($D294&gt;AsOf,"Last service is after the as-of date. ",""))))&amp;IF($E294="","Interval missing.",IF(NOT(ISNUMBER($E294)),"Interval must be a number.",IF($E294&lt;&gt;INT($E294),"Interval must be whole months.",IF(OR($E294&lt;1,$E294&gt;240),"Interval must be 1-240 months.",""))))))</f>
        <v/>
      </c>
      <c r="J294" s="17" t="str">
        <f aca="false">IF(AND($A294="",$B294="",$C294="",$D294="",$E294=""),"",IF('Due List'!$B$4="Check details",IF($G294="Check details",ROW(),""),IF('Due List'!$B$4="All records",IF($G294="Check details",ROW()/100000,$F294+ROW()/100000),IF(OR($G294="Overdue",$G294="Due today",$G294="Due in next 30 days"),$F294+ROW()/100000,""))))</f>
        <v/>
      </c>
    </row>
    <row r="295" customFormat="false" ht="15" hidden="false" customHeight="false" outlineLevel="0" collapsed="false">
      <c r="A295" s="11"/>
      <c r="B295" s="11"/>
      <c r="C295" s="11"/>
      <c r="D295" s="12"/>
      <c r="E295" s="13"/>
      <c r="F295" s="14" t="str">
        <f aca="false">IF(OR(AND($A295="",$B295="",$C295="",$D295="",$E295=""),$I295&lt;&gt;""),"",EDATE($D295,$E295))</f>
        <v/>
      </c>
      <c r="G295" s="6" t="str">
        <f aca="false">IF(AND($A295="",$B295="",$C295="",$D295="",$E295=""),"",IF($I295&lt;&gt;"","Check details",IF($F295&lt;AsOf,"Overdue",IF($F295=AsOf,"Due today",IF($F295&lt;=AsOf+30,"Due in next 30 days","Later")))))</f>
        <v/>
      </c>
      <c r="H295" s="15" t="str">
        <f aca="false">IF($F295="","",$F295-AsOf)</f>
        <v/>
      </c>
      <c r="I295" s="16" t="str">
        <f aca="false">IF(AND($A295="",$B295="",$C295="",$D295="",$E295=""),"",TRIM(IF($A295="","Name missing. ","")&amp;IF($B295="","Site missing. ","")&amp;IF($D295="","Last service missing. ",IF(NOT(ISNUMBER($D295)),"Last service isn't a date. ",IF(OR($D295&lt;18264,$D295&lt;&gt;INT($D295)),"Last service isn't a valid date. ",IF($D295&gt;AsOf,"Last service is after the as-of date. ",""))))&amp;IF($E295="","Interval missing.",IF(NOT(ISNUMBER($E295)),"Interval must be a number.",IF($E295&lt;&gt;INT($E295),"Interval must be whole months.",IF(OR($E295&lt;1,$E295&gt;240),"Interval must be 1-240 months.",""))))))</f>
        <v/>
      </c>
      <c r="J295" s="17" t="str">
        <f aca="false">IF(AND($A295="",$B295="",$C295="",$D295="",$E295=""),"",IF('Due List'!$B$4="Check details",IF($G295="Check details",ROW(),""),IF('Due List'!$B$4="All records",IF($G295="Check details",ROW()/100000,$F295+ROW()/100000),IF(OR($G295="Overdue",$G295="Due today",$G295="Due in next 30 days"),$F295+ROW()/100000,""))))</f>
        <v/>
      </c>
    </row>
    <row r="296" customFormat="false" ht="15" hidden="false" customHeight="false" outlineLevel="0" collapsed="false">
      <c r="A296" s="11"/>
      <c r="B296" s="11"/>
      <c r="C296" s="11"/>
      <c r="D296" s="12"/>
      <c r="E296" s="13"/>
      <c r="F296" s="14" t="str">
        <f aca="false">IF(OR(AND($A296="",$B296="",$C296="",$D296="",$E296=""),$I296&lt;&gt;""),"",EDATE($D296,$E296))</f>
        <v/>
      </c>
      <c r="G296" s="6" t="str">
        <f aca="false">IF(AND($A296="",$B296="",$C296="",$D296="",$E296=""),"",IF($I296&lt;&gt;"","Check details",IF($F296&lt;AsOf,"Overdue",IF($F296=AsOf,"Due today",IF($F296&lt;=AsOf+30,"Due in next 30 days","Later")))))</f>
        <v/>
      </c>
      <c r="H296" s="15" t="str">
        <f aca="false">IF($F296="","",$F296-AsOf)</f>
        <v/>
      </c>
      <c r="I296" s="16" t="str">
        <f aca="false">IF(AND($A296="",$B296="",$C296="",$D296="",$E296=""),"",TRIM(IF($A296="","Name missing. ","")&amp;IF($B296="","Site missing. ","")&amp;IF($D296="","Last service missing. ",IF(NOT(ISNUMBER($D296)),"Last service isn't a date. ",IF(OR($D296&lt;18264,$D296&lt;&gt;INT($D296)),"Last service isn't a valid date. ",IF($D296&gt;AsOf,"Last service is after the as-of date. ",""))))&amp;IF($E296="","Interval missing.",IF(NOT(ISNUMBER($E296)),"Interval must be a number.",IF($E296&lt;&gt;INT($E296),"Interval must be whole months.",IF(OR($E296&lt;1,$E296&gt;240),"Interval must be 1-240 months.",""))))))</f>
        <v/>
      </c>
      <c r="J296" s="17" t="str">
        <f aca="false">IF(AND($A296="",$B296="",$C296="",$D296="",$E296=""),"",IF('Due List'!$B$4="Check details",IF($G296="Check details",ROW(),""),IF('Due List'!$B$4="All records",IF($G296="Check details",ROW()/100000,$F296+ROW()/100000),IF(OR($G296="Overdue",$G296="Due today",$G296="Due in next 30 days"),$F296+ROW()/100000,""))))</f>
        <v/>
      </c>
    </row>
    <row r="297" customFormat="false" ht="15" hidden="false" customHeight="false" outlineLevel="0" collapsed="false">
      <c r="A297" s="11"/>
      <c r="B297" s="11"/>
      <c r="C297" s="11"/>
      <c r="D297" s="12"/>
      <c r="E297" s="13"/>
      <c r="F297" s="14" t="str">
        <f aca="false">IF(OR(AND($A297="",$B297="",$C297="",$D297="",$E297=""),$I297&lt;&gt;""),"",EDATE($D297,$E297))</f>
        <v/>
      </c>
      <c r="G297" s="6" t="str">
        <f aca="false">IF(AND($A297="",$B297="",$C297="",$D297="",$E297=""),"",IF($I297&lt;&gt;"","Check details",IF($F297&lt;AsOf,"Overdue",IF($F297=AsOf,"Due today",IF($F297&lt;=AsOf+30,"Due in next 30 days","Later")))))</f>
        <v/>
      </c>
      <c r="H297" s="15" t="str">
        <f aca="false">IF($F297="","",$F297-AsOf)</f>
        <v/>
      </c>
      <c r="I297" s="16" t="str">
        <f aca="false">IF(AND($A297="",$B297="",$C297="",$D297="",$E297=""),"",TRIM(IF($A297="","Name missing. ","")&amp;IF($B297="","Site missing. ","")&amp;IF($D297="","Last service missing. ",IF(NOT(ISNUMBER($D297)),"Last service isn't a date. ",IF(OR($D297&lt;18264,$D297&lt;&gt;INT($D297)),"Last service isn't a valid date. ",IF($D297&gt;AsOf,"Last service is after the as-of date. ",""))))&amp;IF($E297="","Interval missing.",IF(NOT(ISNUMBER($E297)),"Interval must be a number.",IF($E297&lt;&gt;INT($E297),"Interval must be whole months.",IF(OR($E297&lt;1,$E297&gt;240),"Interval must be 1-240 months.",""))))))</f>
        <v/>
      </c>
      <c r="J297" s="17" t="str">
        <f aca="false">IF(AND($A297="",$B297="",$C297="",$D297="",$E297=""),"",IF('Due List'!$B$4="Check details",IF($G297="Check details",ROW(),""),IF('Due List'!$B$4="All records",IF($G297="Check details",ROW()/100000,$F297+ROW()/100000),IF(OR($G297="Overdue",$G297="Due today",$G297="Due in next 30 days"),$F297+ROW()/100000,""))))</f>
        <v/>
      </c>
    </row>
    <row r="298" customFormat="false" ht="15" hidden="false" customHeight="false" outlineLevel="0" collapsed="false">
      <c r="A298" s="11"/>
      <c r="B298" s="11"/>
      <c r="C298" s="11"/>
      <c r="D298" s="12"/>
      <c r="E298" s="13"/>
      <c r="F298" s="14" t="str">
        <f aca="false">IF(OR(AND($A298="",$B298="",$C298="",$D298="",$E298=""),$I298&lt;&gt;""),"",EDATE($D298,$E298))</f>
        <v/>
      </c>
      <c r="G298" s="6" t="str">
        <f aca="false">IF(AND($A298="",$B298="",$C298="",$D298="",$E298=""),"",IF($I298&lt;&gt;"","Check details",IF($F298&lt;AsOf,"Overdue",IF($F298=AsOf,"Due today",IF($F298&lt;=AsOf+30,"Due in next 30 days","Later")))))</f>
        <v/>
      </c>
      <c r="H298" s="15" t="str">
        <f aca="false">IF($F298="","",$F298-AsOf)</f>
        <v/>
      </c>
      <c r="I298" s="16" t="str">
        <f aca="false">IF(AND($A298="",$B298="",$C298="",$D298="",$E298=""),"",TRIM(IF($A298="","Name missing. ","")&amp;IF($B298="","Site missing. ","")&amp;IF($D298="","Last service missing. ",IF(NOT(ISNUMBER($D298)),"Last service isn't a date. ",IF(OR($D298&lt;18264,$D298&lt;&gt;INT($D298)),"Last service isn't a valid date. ",IF($D298&gt;AsOf,"Last service is after the as-of date. ",""))))&amp;IF($E298="","Interval missing.",IF(NOT(ISNUMBER($E298)),"Interval must be a number.",IF($E298&lt;&gt;INT($E298),"Interval must be whole months.",IF(OR($E298&lt;1,$E298&gt;240),"Interval must be 1-240 months.",""))))))</f>
        <v/>
      </c>
      <c r="J298" s="17" t="str">
        <f aca="false">IF(AND($A298="",$B298="",$C298="",$D298="",$E298=""),"",IF('Due List'!$B$4="Check details",IF($G298="Check details",ROW(),""),IF('Due List'!$B$4="All records",IF($G298="Check details",ROW()/100000,$F298+ROW()/100000),IF(OR($G298="Overdue",$G298="Due today",$G298="Due in next 30 days"),$F298+ROW()/100000,""))))</f>
        <v/>
      </c>
    </row>
    <row r="299" customFormat="false" ht="15" hidden="false" customHeight="false" outlineLevel="0" collapsed="false">
      <c r="A299" s="11"/>
      <c r="B299" s="11"/>
      <c r="C299" s="11"/>
      <c r="D299" s="12"/>
      <c r="E299" s="13"/>
      <c r="F299" s="14" t="str">
        <f aca="false">IF(OR(AND($A299="",$B299="",$C299="",$D299="",$E299=""),$I299&lt;&gt;""),"",EDATE($D299,$E299))</f>
        <v/>
      </c>
      <c r="G299" s="6" t="str">
        <f aca="false">IF(AND($A299="",$B299="",$C299="",$D299="",$E299=""),"",IF($I299&lt;&gt;"","Check details",IF($F299&lt;AsOf,"Overdue",IF($F299=AsOf,"Due today",IF($F299&lt;=AsOf+30,"Due in next 30 days","Later")))))</f>
        <v/>
      </c>
      <c r="H299" s="15" t="str">
        <f aca="false">IF($F299="","",$F299-AsOf)</f>
        <v/>
      </c>
      <c r="I299" s="16" t="str">
        <f aca="false">IF(AND($A299="",$B299="",$C299="",$D299="",$E299=""),"",TRIM(IF($A299="","Name missing. ","")&amp;IF($B299="","Site missing. ","")&amp;IF($D299="","Last service missing. ",IF(NOT(ISNUMBER($D299)),"Last service isn't a date. ",IF(OR($D299&lt;18264,$D299&lt;&gt;INT($D299)),"Last service isn't a valid date. ",IF($D299&gt;AsOf,"Last service is after the as-of date. ",""))))&amp;IF($E299="","Interval missing.",IF(NOT(ISNUMBER($E299)),"Interval must be a number.",IF($E299&lt;&gt;INT($E299),"Interval must be whole months.",IF(OR($E299&lt;1,$E299&gt;240),"Interval must be 1-240 months.",""))))))</f>
        <v/>
      </c>
      <c r="J299" s="17" t="str">
        <f aca="false">IF(AND($A299="",$B299="",$C299="",$D299="",$E299=""),"",IF('Due List'!$B$4="Check details",IF($G299="Check details",ROW(),""),IF('Due List'!$B$4="All records",IF($G299="Check details",ROW()/100000,$F299+ROW()/100000),IF(OR($G299="Overdue",$G299="Due today",$G299="Due in next 30 days"),$F299+ROW()/100000,""))))</f>
        <v/>
      </c>
    </row>
    <row r="300" customFormat="false" ht="15" hidden="false" customHeight="false" outlineLevel="0" collapsed="false">
      <c r="A300" s="11"/>
      <c r="B300" s="11"/>
      <c r="C300" s="11"/>
      <c r="D300" s="12"/>
      <c r="E300" s="13"/>
      <c r="F300" s="14" t="str">
        <f aca="false">IF(OR(AND($A300="",$B300="",$C300="",$D300="",$E300=""),$I300&lt;&gt;""),"",EDATE($D300,$E300))</f>
        <v/>
      </c>
      <c r="G300" s="6" t="str">
        <f aca="false">IF(AND($A300="",$B300="",$C300="",$D300="",$E300=""),"",IF($I300&lt;&gt;"","Check details",IF($F300&lt;AsOf,"Overdue",IF($F300=AsOf,"Due today",IF($F300&lt;=AsOf+30,"Due in next 30 days","Later")))))</f>
        <v/>
      </c>
      <c r="H300" s="15" t="str">
        <f aca="false">IF($F300="","",$F300-AsOf)</f>
        <v/>
      </c>
      <c r="I300" s="16" t="str">
        <f aca="false">IF(AND($A300="",$B300="",$C300="",$D300="",$E300=""),"",TRIM(IF($A300="","Name missing. ","")&amp;IF($B300="","Site missing. ","")&amp;IF($D300="","Last service missing. ",IF(NOT(ISNUMBER($D300)),"Last service isn't a date. ",IF(OR($D300&lt;18264,$D300&lt;&gt;INT($D300)),"Last service isn't a valid date. ",IF($D300&gt;AsOf,"Last service is after the as-of date. ",""))))&amp;IF($E300="","Interval missing.",IF(NOT(ISNUMBER($E300)),"Interval must be a number.",IF($E300&lt;&gt;INT($E300),"Interval must be whole months.",IF(OR($E300&lt;1,$E300&gt;240),"Interval must be 1-240 months.",""))))))</f>
        <v/>
      </c>
      <c r="J300" s="17" t="str">
        <f aca="false">IF(AND($A300="",$B300="",$C300="",$D300="",$E300=""),"",IF('Due List'!$B$4="Check details",IF($G300="Check details",ROW(),""),IF('Due List'!$B$4="All records",IF($G300="Check details",ROW()/100000,$F300+ROW()/100000),IF(OR($G300="Overdue",$G300="Due today",$G300="Due in next 30 days"),$F300+ROW()/100000,""))))</f>
        <v/>
      </c>
    </row>
    <row r="301" customFormat="false" ht="15" hidden="false" customHeight="false" outlineLevel="0" collapsed="false">
      <c r="A301" s="11"/>
      <c r="B301" s="11"/>
      <c r="C301" s="11"/>
      <c r="D301" s="12"/>
      <c r="E301" s="13"/>
      <c r="F301" s="14" t="str">
        <f aca="false">IF(OR(AND($A301="",$B301="",$C301="",$D301="",$E301=""),$I301&lt;&gt;""),"",EDATE($D301,$E301))</f>
        <v/>
      </c>
      <c r="G301" s="6" t="str">
        <f aca="false">IF(AND($A301="",$B301="",$C301="",$D301="",$E301=""),"",IF($I301&lt;&gt;"","Check details",IF($F301&lt;AsOf,"Overdue",IF($F301=AsOf,"Due today",IF($F301&lt;=AsOf+30,"Due in next 30 days","Later")))))</f>
        <v/>
      </c>
      <c r="H301" s="15" t="str">
        <f aca="false">IF($F301="","",$F301-AsOf)</f>
        <v/>
      </c>
      <c r="I301" s="16" t="str">
        <f aca="false">IF(AND($A301="",$B301="",$C301="",$D301="",$E301=""),"",TRIM(IF($A301="","Name missing. ","")&amp;IF($B301="","Site missing. ","")&amp;IF($D301="","Last service missing. ",IF(NOT(ISNUMBER($D301)),"Last service isn't a date. ",IF(OR($D301&lt;18264,$D301&lt;&gt;INT($D301)),"Last service isn't a valid date. ",IF($D301&gt;AsOf,"Last service is after the as-of date. ",""))))&amp;IF($E301="","Interval missing.",IF(NOT(ISNUMBER($E301)),"Interval must be a number.",IF($E301&lt;&gt;INT($E301),"Interval must be whole months.",IF(OR($E301&lt;1,$E301&gt;240),"Interval must be 1-240 months.",""))))))</f>
        <v/>
      </c>
      <c r="J301" s="17" t="str">
        <f aca="false">IF(AND($A301="",$B301="",$C301="",$D301="",$E301=""),"",IF('Due List'!$B$4="Check details",IF($G301="Check details",ROW(),""),IF('Due List'!$B$4="All records",IF($G301="Check details",ROW()/100000,$F301+ROW()/100000),IF(OR($G301="Overdue",$G301="Due today",$G301="Due in next 30 days"),$F301+ROW()/100000,""))))</f>
        <v/>
      </c>
    </row>
    <row r="302" customFormat="false" ht="15" hidden="false" customHeight="false" outlineLevel="0" collapsed="false">
      <c r="A302" s="11"/>
      <c r="B302" s="11"/>
      <c r="C302" s="11"/>
      <c r="D302" s="12"/>
      <c r="E302" s="13"/>
      <c r="F302" s="14" t="str">
        <f aca="false">IF(OR(AND($A302="",$B302="",$C302="",$D302="",$E302=""),$I302&lt;&gt;""),"",EDATE($D302,$E302))</f>
        <v/>
      </c>
      <c r="G302" s="6" t="str">
        <f aca="false">IF(AND($A302="",$B302="",$C302="",$D302="",$E302=""),"",IF($I302&lt;&gt;"","Check details",IF($F302&lt;AsOf,"Overdue",IF($F302=AsOf,"Due today",IF($F302&lt;=AsOf+30,"Due in next 30 days","Later")))))</f>
        <v/>
      </c>
      <c r="H302" s="15" t="str">
        <f aca="false">IF($F302="","",$F302-AsOf)</f>
        <v/>
      </c>
      <c r="I302" s="16" t="str">
        <f aca="false">IF(AND($A302="",$B302="",$C302="",$D302="",$E302=""),"",TRIM(IF($A302="","Name missing. ","")&amp;IF($B302="","Site missing. ","")&amp;IF($D302="","Last service missing. ",IF(NOT(ISNUMBER($D302)),"Last service isn't a date. ",IF(OR($D302&lt;18264,$D302&lt;&gt;INT($D302)),"Last service isn't a valid date. ",IF($D302&gt;AsOf,"Last service is after the as-of date. ",""))))&amp;IF($E302="","Interval missing.",IF(NOT(ISNUMBER($E302)),"Interval must be a number.",IF($E302&lt;&gt;INT($E302),"Interval must be whole months.",IF(OR($E302&lt;1,$E302&gt;240),"Interval must be 1-240 months.",""))))))</f>
        <v/>
      </c>
      <c r="J302" s="17" t="str">
        <f aca="false">IF(AND($A302="",$B302="",$C302="",$D302="",$E302=""),"",IF('Due List'!$B$4="Check details",IF($G302="Check details",ROW(),""),IF('Due List'!$B$4="All records",IF($G302="Check details",ROW()/100000,$F302+ROW()/100000),IF(OR($G302="Overdue",$G302="Due today",$G302="Due in next 30 days"),$F302+ROW()/100000,""))))</f>
        <v/>
      </c>
    </row>
    <row r="303" customFormat="false" ht="15" hidden="false" customHeight="false" outlineLevel="0" collapsed="false">
      <c r="A303" s="11"/>
      <c r="B303" s="11"/>
      <c r="C303" s="11"/>
      <c r="D303" s="12"/>
      <c r="E303" s="13"/>
      <c r="F303" s="14" t="str">
        <f aca="false">IF(OR(AND($A303="",$B303="",$C303="",$D303="",$E303=""),$I303&lt;&gt;""),"",EDATE($D303,$E303))</f>
        <v/>
      </c>
      <c r="G303" s="6" t="str">
        <f aca="false">IF(AND($A303="",$B303="",$C303="",$D303="",$E303=""),"",IF($I303&lt;&gt;"","Check details",IF($F303&lt;AsOf,"Overdue",IF($F303=AsOf,"Due today",IF($F303&lt;=AsOf+30,"Due in next 30 days","Later")))))</f>
        <v/>
      </c>
      <c r="H303" s="15" t="str">
        <f aca="false">IF($F303="","",$F303-AsOf)</f>
        <v/>
      </c>
      <c r="I303" s="16" t="str">
        <f aca="false">IF(AND($A303="",$B303="",$C303="",$D303="",$E303=""),"",TRIM(IF($A303="","Name missing. ","")&amp;IF($B303="","Site missing. ","")&amp;IF($D303="","Last service missing. ",IF(NOT(ISNUMBER($D303)),"Last service isn't a date. ",IF(OR($D303&lt;18264,$D303&lt;&gt;INT($D303)),"Last service isn't a valid date. ",IF($D303&gt;AsOf,"Last service is after the as-of date. ",""))))&amp;IF($E303="","Interval missing.",IF(NOT(ISNUMBER($E303)),"Interval must be a number.",IF($E303&lt;&gt;INT($E303),"Interval must be whole months.",IF(OR($E303&lt;1,$E303&gt;240),"Interval must be 1-240 months.",""))))))</f>
        <v/>
      </c>
      <c r="J303" s="17" t="str">
        <f aca="false">IF(AND($A303="",$B303="",$C303="",$D303="",$E303=""),"",IF('Due List'!$B$4="Check details",IF($G303="Check details",ROW(),""),IF('Due List'!$B$4="All records",IF($G303="Check details",ROW()/100000,$F303+ROW()/100000),IF(OR($G303="Overdue",$G303="Due today",$G303="Due in next 30 days"),$F303+ROW()/100000,""))))</f>
        <v/>
      </c>
    </row>
    <row r="304" customFormat="false" ht="15" hidden="false" customHeight="false" outlineLevel="0" collapsed="false">
      <c r="A304" s="11"/>
      <c r="B304" s="11"/>
      <c r="C304" s="11"/>
      <c r="D304" s="12"/>
      <c r="E304" s="13"/>
      <c r="F304" s="14" t="str">
        <f aca="false">IF(OR(AND($A304="",$B304="",$C304="",$D304="",$E304=""),$I304&lt;&gt;""),"",EDATE($D304,$E304))</f>
        <v/>
      </c>
      <c r="G304" s="6" t="str">
        <f aca="false">IF(AND($A304="",$B304="",$C304="",$D304="",$E304=""),"",IF($I304&lt;&gt;"","Check details",IF($F304&lt;AsOf,"Overdue",IF($F304=AsOf,"Due today",IF($F304&lt;=AsOf+30,"Due in next 30 days","Later")))))</f>
        <v/>
      </c>
      <c r="H304" s="15" t="str">
        <f aca="false">IF($F304="","",$F304-AsOf)</f>
        <v/>
      </c>
      <c r="I304" s="16" t="str">
        <f aca="false">IF(AND($A304="",$B304="",$C304="",$D304="",$E304=""),"",TRIM(IF($A304="","Name missing. ","")&amp;IF($B304="","Site missing. ","")&amp;IF($D304="","Last service missing. ",IF(NOT(ISNUMBER($D304)),"Last service isn't a date. ",IF(OR($D304&lt;18264,$D304&lt;&gt;INT($D304)),"Last service isn't a valid date. ",IF($D304&gt;AsOf,"Last service is after the as-of date. ",""))))&amp;IF($E304="","Interval missing.",IF(NOT(ISNUMBER($E304)),"Interval must be a number.",IF($E304&lt;&gt;INT($E304),"Interval must be whole months.",IF(OR($E304&lt;1,$E304&gt;240),"Interval must be 1-240 months.",""))))))</f>
        <v/>
      </c>
      <c r="J304" s="17" t="str">
        <f aca="false">IF(AND($A304="",$B304="",$C304="",$D304="",$E304=""),"",IF('Due List'!$B$4="Check details",IF($G304="Check details",ROW(),""),IF('Due List'!$B$4="All records",IF($G304="Check details",ROW()/100000,$F304+ROW()/100000),IF(OR($G304="Overdue",$G304="Due today",$G304="Due in next 30 days"),$F304+ROW()/100000,""))))</f>
        <v/>
      </c>
    </row>
    <row r="305" customFormat="false" ht="15" hidden="false" customHeight="false" outlineLevel="0" collapsed="false">
      <c r="A305" s="11"/>
      <c r="B305" s="11"/>
      <c r="C305" s="11"/>
      <c r="D305" s="12"/>
      <c r="E305" s="13"/>
      <c r="F305" s="14" t="str">
        <f aca="false">IF(OR(AND($A305="",$B305="",$C305="",$D305="",$E305=""),$I305&lt;&gt;""),"",EDATE($D305,$E305))</f>
        <v/>
      </c>
      <c r="G305" s="6" t="str">
        <f aca="false">IF(AND($A305="",$B305="",$C305="",$D305="",$E305=""),"",IF($I305&lt;&gt;"","Check details",IF($F305&lt;AsOf,"Overdue",IF($F305=AsOf,"Due today",IF($F305&lt;=AsOf+30,"Due in next 30 days","Later")))))</f>
        <v/>
      </c>
      <c r="H305" s="15" t="str">
        <f aca="false">IF($F305="","",$F305-AsOf)</f>
        <v/>
      </c>
      <c r="I305" s="16" t="str">
        <f aca="false">IF(AND($A305="",$B305="",$C305="",$D305="",$E305=""),"",TRIM(IF($A305="","Name missing. ","")&amp;IF($B305="","Site missing. ","")&amp;IF($D305="","Last service missing. ",IF(NOT(ISNUMBER($D305)),"Last service isn't a date. ",IF(OR($D305&lt;18264,$D305&lt;&gt;INT($D305)),"Last service isn't a valid date. ",IF($D305&gt;AsOf,"Last service is after the as-of date. ",""))))&amp;IF($E305="","Interval missing.",IF(NOT(ISNUMBER($E305)),"Interval must be a number.",IF($E305&lt;&gt;INT($E305),"Interval must be whole months.",IF(OR($E305&lt;1,$E305&gt;240),"Interval must be 1-240 months.",""))))))</f>
        <v/>
      </c>
      <c r="J305" s="17" t="str">
        <f aca="false">IF(AND($A305="",$B305="",$C305="",$D305="",$E305=""),"",IF('Due List'!$B$4="Check details",IF($G305="Check details",ROW(),""),IF('Due List'!$B$4="All records",IF($G305="Check details",ROW()/100000,$F305+ROW()/100000),IF(OR($G305="Overdue",$G305="Due today",$G305="Due in next 30 days"),$F305+ROW()/100000,""))))</f>
        <v/>
      </c>
    </row>
    <row r="306" customFormat="false" ht="15" hidden="false" customHeight="false" outlineLevel="0" collapsed="false">
      <c r="A306" s="11"/>
      <c r="B306" s="11"/>
      <c r="C306" s="11"/>
      <c r="D306" s="12"/>
      <c r="E306" s="13"/>
      <c r="F306" s="14" t="str">
        <f aca="false">IF(OR(AND($A306="",$B306="",$C306="",$D306="",$E306=""),$I306&lt;&gt;""),"",EDATE($D306,$E306))</f>
        <v/>
      </c>
      <c r="G306" s="6" t="str">
        <f aca="false">IF(AND($A306="",$B306="",$C306="",$D306="",$E306=""),"",IF($I306&lt;&gt;"","Check details",IF($F306&lt;AsOf,"Overdue",IF($F306=AsOf,"Due today",IF($F306&lt;=AsOf+30,"Due in next 30 days","Later")))))</f>
        <v/>
      </c>
      <c r="H306" s="15" t="str">
        <f aca="false">IF($F306="","",$F306-AsOf)</f>
        <v/>
      </c>
      <c r="I306" s="16" t="str">
        <f aca="false">IF(AND($A306="",$B306="",$C306="",$D306="",$E306=""),"",TRIM(IF($A306="","Name missing. ","")&amp;IF($B306="","Site missing. ","")&amp;IF($D306="","Last service missing. ",IF(NOT(ISNUMBER($D306)),"Last service isn't a date. ",IF(OR($D306&lt;18264,$D306&lt;&gt;INT($D306)),"Last service isn't a valid date. ",IF($D306&gt;AsOf,"Last service is after the as-of date. ",""))))&amp;IF($E306="","Interval missing.",IF(NOT(ISNUMBER($E306)),"Interval must be a number.",IF($E306&lt;&gt;INT($E306),"Interval must be whole months.",IF(OR($E306&lt;1,$E306&gt;240),"Interval must be 1-240 months.",""))))))</f>
        <v/>
      </c>
      <c r="J306" s="17" t="str">
        <f aca="false">IF(AND($A306="",$B306="",$C306="",$D306="",$E306=""),"",IF('Due List'!$B$4="Check details",IF($G306="Check details",ROW(),""),IF('Due List'!$B$4="All records",IF($G306="Check details",ROW()/100000,$F306+ROW()/100000),IF(OR($G306="Overdue",$G306="Due today",$G306="Due in next 30 days"),$F306+ROW()/100000,""))))</f>
        <v/>
      </c>
    </row>
    <row r="307" customFormat="false" ht="15" hidden="false" customHeight="false" outlineLevel="0" collapsed="false">
      <c r="A307" s="11"/>
      <c r="B307" s="11"/>
      <c r="C307" s="11"/>
      <c r="D307" s="12"/>
      <c r="E307" s="13"/>
      <c r="F307" s="14" t="str">
        <f aca="false">IF(OR(AND($A307="",$B307="",$C307="",$D307="",$E307=""),$I307&lt;&gt;""),"",EDATE($D307,$E307))</f>
        <v/>
      </c>
      <c r="G307" s="6" t="str">
        <f aca="false">IF(AND($A307="",$B307="",$C307="",$D307="",$E307=""),"",IF($I307&lt;&gt;"","Check details",IF($F307&lt;AsOf,"Overdue",IF($F307=AsOf,"Due today",IF($F307&lt;=AsOf+30,"Due in next 30 days","Later")))))</f>
        <v/>
      </c>
      <c r="H307" s="15" t="str">
        <f aca="false">IF($F307="","",$F307-AsOf)</f>
        <v/>
      </c>
      <c r="I307" s="16" t="str">
        <f aca="false">IF(AND($A307="",$B307="",$C307="",$D307="",$E307=""),"",TRIM(IF($A307="","Name missing. ","")&amp;IF($B307="","Site missing. ","")&amp;IF($D307="","Last service missing. ",IF(NOT(ISNUMBER($D307)),"Last service isn't a date. ",IF(OR($D307&lt;18264,$D307&lt;&gt;INT($D307)),"Last service isn't a valid date. ",IF($D307&gt;AsOf,"Last service is after the as-of date. ",""))))&amp;IF($E307="","Interval missing.",IF(NOT(ISNUMBER($E307)),"Interval must be a number.",IF($E307&lt;&gt;INT($E307),"Interval must be whole months.",IF(OR($E307&lt;1,$E307&gt;240),"Interval must be 1-240 months.",""))))))</f>
        <v/>
      </c>
      <c r="J307" s="17" t="str">
        <f aca="false">IF(AND($A307="",$B307="",$C307="",$D307="",$E307=""),"",IF('Due List'!$B$4="Check details",IF($G307="Check details",ROW(),""),IF('Due List'!$B$4="All records",IF($G307="Check details",ROW()/100000,$F307+ROW()/100000),IF(OR($G307="Overdue",$G307="Due today",$G307="Due in next 30 days"),$F307+ROW()/100000,""))))</f>
        <v/>
      </c>
    </row>
    <row r="308" customFormat="false" ht="15" hidden="false" customHeight="false" outlineLevel="0" collapsed="false">
      <c r="A308" s="11"/>
      <c r="B308" s="11"/>
      <c r="C308" s="11"/>
      <c r="D308" s="12"/>
      <c r="E308" s="13"/>
      <c r="F308" s="14" t="str">
        <f aca="false">IF(OR(AND($A308="",$B308="",$C308="",$D308="",$E308=""),$I308&lt;&gt;""),"",EDATE($D308,$E308))</f>
        <v/>
      </c>
      <c r="G308" s="6" t="str">
        <f aca="false">IF(AND($A308="",$B308="",$C308="",$D308="",$E308=""),"",IF($I308&lt;&gt;"","Check details",IF($F308&lt;AsOf,"Overdue",IF($F308=AsOf,"Due today",IF($F308&lt;=AsOf+30,"Due in next 30 days","Later")))))</f>
        <v/>
      </c>
      <c r="H308" s="15" t="str">
        <f aca="false">IF($F308="","",$F308-AsOf)</f>
        <v/>
      </c>
      <c r="I308" s="16" t="str">
        <f aca="false">IF(AND($A308="",$B308="",$C308="",$D308="",$E308=""),"",TRIM(IF($A308="","Name missing. ","")&amp;IF($B308="","Site missing. ","")&amp;IF($D308="","Last service missing. ",IF(NOT(ISNUMBER($D308)),"Last service isn't a date. ",IF(OR($D308&lt;18264,$D308&lt;&gt;INT($D308)),"Last service isn't a valid date. ",IF($D308&gt;AsOf,"Last service is after the as-of date. ",""))))&amp;IF($E308="","Interval missing.",IF(NOT(ISNUMBER($E308)),"Interval must be a number.",IF($E308&lt;&gt;INT($E308),"Interval must be whole months.",IF(OR($E308&lt;1,$E308&gt;240),"Interval must be 1-240 months.",""))))))</f>
        <v/>
      </c>
      <c r="J308" s="17" t="str">
        <f aca="false">IF(AND($A308="",$B308="",$C308="",$D308="",$E308=""),"",IF('Due List'!$B$4="Check details",IF($G308="Check details",ROW(),""),IF('Due List'!$B$4="All records",IF($G308="Check details",ROW()/100000,$F308+ROW()/100000),IF(OR($G308="Overdue",$G308="Due today",$G308="Due in next 30 days"),$F308+ROW()/100000,""))))</f>
        <v/>
      </c>
    </row>
    <row r="309" customFormat="false" ht="15" hidden="false" customHeight="false" outlineLevel="0" collapsed="false">
      <c r="A309" s="11"/>
      <c r="B309" s="11"/>
      <c r="C309" s="11"/>
      <c r="D309" s="12"/>
      <c r="E309" s="13"/>
      <c r="F309" s="14" t="str">
        <f aca="false">IF(OR(AND($A309="",$B309="",$C309="",$D309="",$E309=""),$I309&lt;&gt;""),"",EDATE($D309,$E309))</f>
        <v/>
      </c>
      <c r="G309" s="6" t="str">
        <f aca="false">IF(AND($A309="",$B309="",$C309="",$D309="",$E309=""),"",IF($I309&lt;&gt;"","Check details",IF($F309&lt;AsOf,"Overdue",IF($F309=AsOf,"Due today",IF($F309&lt;=AsOf+30,"Due in next 30 days","Later")))))</f>
        <v/>
      </c>
      <c r="H309" s="15" t="str">
        <f aca="false">IF($F309="","",$F309-AsOf)</f>
        <v/>
      </c>
      <c r="I309" s="16" t="str">
        <f aca="false">IF(AND($A309="",$B309="",$C309="",$D309="",$E309=""),"",TRIM(IF($A309="","Name missing. ","")&amp;IF($B309="","Site missing. ","")&amp;IF($D309="","Last service missing. ",IF(NOT(ISNUMBER($D309)),"Last service isn't a date. ",IF(OR($D309&lt;18264,$D309&lt;&gt;INT($D309)),"Last service isn't a valid date. ",IF($D309&gt;AsOf,"Last service is after the as-of date. ",""))))&amp;IF($E309="","Interval missing.",IF(NOT(ISNUMBER($E309)),"Interval must be a number.",IF($E309&lt;&gt;INT($E309),"Interval must be whole months.",IF(OR($E309&lt;1,$E309&gt;240),"Interval must be 1-240 months.",""))))))</f>
        <v/>
      </c>
      <c r="J309" s="17" t="str">
        <f aca="false">IF(AND($A309="",$B309="",$C309="",$D309="",$E309=""),"",IF('Due List'!$B$4="Check details",IF($G309="Check details",ROW(),""),IF('Due List'!$B$4="All records",IF($G309="Check details",ROW()/100000,$F309+ROW()/100000),IF(OR($G309="Overdue",$G309="Due today",$G309="Due in next 30 days"),$F309+ROW()/100000,""))))</f>
        <v/>
      </c>
    </row>
    <row r="310" customFormat="false" ht="15" hidden="false" customHeight="false" outlineLevel="0" collapsed="false">
      <c r="A310" s="11"/>
      <c r="B310" s="11"/>
      <c r="C310" s="11"/>
      <c r="D310" s="12"/>
      <c r="E310" s="13"/>
      <c r="F310" s="14" t="str">
        <f aca="false">IF(OR(AND($A310="",$B310="",$C310="",$D310="",$E310=""),$I310&lt;&gt;""),"",EDATE($D310,$E310))</f>
        <v/>
      </c>
      <c r="G310" s="6" t="str">
        <f aca="false">IF(AND($A310="",$B310="",$C310="",$D310="",$E310=""),"",IF($I310&lt;&gt;"","Check details",IF($F310&lt;AsOf,"Overdue",IF($F310=AsOf,"Due today",IF($F310&lt;=AsOf+30,"Due in next 30 days","Later")))))</f>
        <v/>
      </c>
      <c r="H310" s="15" t="str">
        <f aca="false">IF($F310="","",$F310-AsOf)</f>
        <v/>
      </c>
      <c r="I310" s="16" t="str">
        <f aca="false">IF(AND($A310="",$B310="",$C310="",$D310="",$E310=""),"",TRIM(IF($A310="","Name missing. ","")&amp;IF($B310="","Site missing. ","")&amp;IF($D310="","Last service missing. ",IF(NOT(ISNUMBER($D310)),"Last service isn't a date. ",IF(OR($D310&lt;18264,$D310&lt;&gt;INT($D310)),"Last service isn't a valid date. ",IF($D310&gt;AsOf,"Last service is after the as-of date. ",""))))&amp;IF($E310="","Interval missing.",IF(NOT(ISNUMBER($E310)),"Interval must be a number.",IF($E310&lt;&gt;INT($E310),"Interval must be whole months.",IF(OR($E310&lt;1,$E310&gt;240),"Interval must be 1-240 months.",""))))))</f>
        <v/>
      </c>
      <c r="J310" s="17" t="str">
        <f aca="false">IF(AND($A310="",$B310="",$C310="",$D310="",$E310=""),"",IF('Due List'!$B$4="Check details",IF($G310="Check details",ROW(),""),IF('Due List'!$B$4="All records",IF($G310="Check details",ROW()/100000,$F310+ROW()/100000),IF(OR($G310="Overdue",$G310="Due today",$G310="Due in next 30 days"),$F310+ROW()/100000,""))))</f>
        <v/>
      </c>
    </row>
    <row r="311" customFormat="false" ht="15" hidden="false" customHeight="false" outlineLevel="0" collapsed="false">
      <c r="A311" s="11"/>
      <c r="B311" s="11"/>
      <c r="C311" s="11"/>
      <c r="D311" s="12"/>
      <c r="E311" s="13"/>
      <c r="F311" s="14" t="str">
        <f aca="false">IF(OR(AND($A311="",$B311="",$C311="",$D311="",$E311=""),$I311&lt;&gt;""),"",EDATE($D311,$E311))</f>
        <v/>
      </c>
      <c r="G311" s="6" t="str">
        <f aca="false">IF(AND($A311="",$B311="",$C311="",$D311="",$E311=""),"",IF($I311&lt;&gt;"","Check details",IF($F311&lt;AsOf,"Overdue",IF($F311=AsOf,"Due today",IF($F311&lt;=AsOf+30,"Due in next 30 days","Later")))))</f>
        <v/>
      </c>
      <c r="H311" s="15" t="str">
        <f aca="false">IF($F311="","",$F311-AsOf)</f>
        <v/>
      </c>
      <c r="I311" s="16" t="str">
        <f aca="false">IF(AND($A311="",$B311="",$C311="",$D311="",$E311=""),"",TRIM(IF($A311="","Name missing. ","")&amp;IF($B311="","Site missing. ","")&amp;IF($D311="","Last service missing. ",IF(NOT(ISNUMBER($D311)),"Last service isn't a date. ",IF(OR($D311&lt;18264,$D311&lt;&gt;INT($D311)),"Last service isn't a valid date. ",IF($D311&gt;AsOf,"Last service is after the as-of date. ",""))))&amp;IF($E311="","Interval missing.",IF(NOT(ISNUMBER($E311)),"Interval must be a number.",IF($E311&lt;&gt;INT($E311),"Interval must be whole months.",IF(OR($E311&lt;1,$E311&gt;240),"Interval must be 1-240 months.",""))))))</f>
        <v/>
      </c>
      <c r="J311" s="17" t="str">
        <f aca="false">IF(AND($A311="",$B311="",$C311="",$D311="",$E311=""),"",IF('Due List'!$B$4="Check details",IF($G311="Check details",ROW(),""),IF('Due List'!$B$4="All records",IF($G311="Check details",ROW()/100000,$F311+ROW()/100000),IF(OR($G311="Overdue",$G311="Due today",$G311="Due in next 30 days"),$F311+ROW()/100000,""))))</f>
        <v/>
      </c>
    </row>
    <row r="312" customFormat="false" ht="15" hidden="false" customHeight="false" outlineLevel="0" collapsed="false">
      <c r="A312" s="11"/>
      <c r="B312" s="11"/>
      <c r="C312" s="11"/>
      <c r="D312" s="12"/>
      <c r="E312" s="13"/>
      <c r="F312" s="14" t="str">
        <f aca="false">IF(OR(AND($A312="",$B312="",$C312="",$D312="",$E312=""),$I312&lt;&gt;""),"",EDATE($D312,$E312))</f>
        <v/>
      </c>
      <c r="G312" s="6" t="str">
        <f aca="false">IF(AND($A312="",$B312="",$C312="",$D312="",$E312=""),"",IF($I312&lt;&gt;"","Check details",IF($F312&lt;AsOf,"Overdue",IF($F312=AsOf,"Due today",IF($F312&lt;=AsOf+30,"Due in next 30 days","Later")))))</f>
        <v/>
      </c>
      <c r="H312" s="15" t="str">
        <f aca="false">IF($F312="","",$F312-AsOf)</f>
        <v/>
      </c>
      <c r="I312" s="16" t="str">
        <f aca="false">IF(AND($A312="",$B312="",$C312="",$D312="",$E312=""),"",TRIM(IF($A312="","Name missing. ","")&amp;IF($B312="","Site missing. ","")&amp;IF($D312="","Last service missing. ",IF(NOT(ISNUMBER($D312)),"Last service isn't a date. ",IF(OR($D312&lt;18264,$D312&lt;&gt;INT($D312)),"Last service isn't a valid date. ",IF($D312&gt;AsOf,"Last service is after the as-of date. ",""))))&amp;IF($E312="","Interval missing.",IF(NOT(ISNUMBER($E312)),"Interval must be a number.",IF($E312&lt;&gt;INT($E312),"Interval must be whole months.",IF(OR($E312&lt;1,$E312&gt;240),"Interval must be 1-240 months.",""))))))</f>
        <v/>
      </c>
      <c r="J312" s="17" t="str">
        <f aca="false">IF(AND($A312="",$B312="",$C312="",$D312="",$E312=""),"",IF('Due List'!$B$4="Check details",IF($G312="Check details",ROW(),""),IF('Due List'!$B$4="All records",IF($G312="Check details",ROW()/100000,$F312+ROW()/100000),IF(OR($G312="Overdue",$G312="Due today",$G312="Due in next 30 days"),$F312+ROW()/100000,""))))</f>
        <v/>
      </c>
    </row>
    <row r="313" customFormat="false" ht="15" hidden="false" customHeight="false" outlineLevel="0" collapsed="false">
      <c r="A313" s="11"/>
      <c r="B313" s="11"/>
      <c r="C313" s="11"/>
      <c r="D313" s="12"/>
      <c r="E313" s="13"/>
      <c r="F313" s="14" t="str">
        <f aca="false">IF(OR(AND($A313="",$B313="",$C313="",$D313="",$E313=""),$I313&lt;&gt;""),"",EDATE($D313,$E313))</f>
        <v/>
      </c>
      <c r="G313" s="6" t="str">
        <f aca="false">IF(AND($A313="",$B313="",$C313="",$D313="",$E313=""),"",IF($I313&lt;&gt;"","Check details",IF($F313&lt;AsOf,"Overdue",IF($F313=AsOf,"Due today",IF($F313&lt;=AsOf+30,"Due in next 30 days","Later")))))</f>
        <v/>
      </c>
      <c r="H313" s="15" t="str">
        <f aca="false">IF($F313="","",$F313-AsOf)</f>
        <v/>
      </c>
      <c r="I313" s="16" t="str">
        <f aca="false">IF(AND($A313="",$B313="",$C313="",$D313="",$E313=""),"",TRIM(IF($A313="","Name missing. ","")&amp;IF($B313="","Site missing. ","")&amp;IF($D313="","Last service missing. ",IF(NOT(ISNUMBER($D313)),"Last service isn't a date. ",IF(OR($D313&lt;18264,$D313&lt;&gt;INT($D313)),"Last service isn't a valid date. ",IF($D313&gt;AsOf,"Last service is after the as-of date. ",""))))&amp;IF($E313="","Interval missing.",IF(NOT(ISNUMBER($E313)),"Interval must be a number.",IF($E313&lt;&gt;INT($E313),"Interval must be whole months.",IF(OR($E313&lt;1,$E313&gt;240),"Interval must be 1-240 months.",""))))))</f>
        <v/>
      </c>
      <c r="J313" s="17" t="str">
        <f aca="false">IF(AND($A313="",$B313="",$C313="",$D313="",$E313=""),"",IF('Due List'!$B$4="Check details",IF($G313="Check details",ROW(),""),IF('Due List'!$B$4="All records",IF($G313="Check details",ROW()/100000,$F313+ROW()/100000),IF(OR($G313="Overdue",$G313="Due today",$G313="Due in next 30 days"),$F313+ROW()/100000,""))))</f>
        <v/>
      </c>
    </row>
    <row r="314" customFormat="false" ht="15" hidden="false" customHeight="false" outlineLevel="0" collapsed="false">
      <c r="A314" s="11"/>
      <c r="B314" s="11"/>
      <c r="C314" s="11"/>
      <c r="D314" s="12"/>
      <c r="E314" s="13"/>
      <c r="F314" s="14" t="str">
        <f aca="false">IF(OR(AND($A314="",$B314="",$C314="",$D314="",$E314=""),$I314&lt;&gt;""),"",EDATE($D314,$E314))</f>
        <v/>
      </c>
      <c r="G314" s="6" t="str">
        <f aca="false">IF(AND($A314="",$B314="",$C314="",$D314="",$E314=""),"",IF($I314&lt;&gt;"","Check details",IF($F314&lt;AsOf,"Overdue",IF($F314=AsOf,"Due today",IF($F314&lt;=AsOf+30,"Due in next 30 days","Later")))))</f>
        <v/>
      </c>
      <c r="H314" s="15" t="str">
        <f aca="false">IF($F314="","",$F314-AsOf)</f>
        <v/>
      </c>
      <c r="I314" s="16" t="str">
        <f aca="false">IF(AND($A314="",$B314="",$C314="",$D314="",$E314=""),"",TRIM(IF($A314="","Name missing. ","")&amp;IF($B314="","Site missing. ","")&amp;IF($D314="","Last service missing. ",IF(NOT(ISNUMBER($D314)),"Last service isn't a date. ",IF(OR($D314&lt;18264,$D314&lt;&gt;INT($D314)),"Last service isn't a valid date. ",IF($D314&gt;AsOf,"Last service is after the as-of date. ",""))))&amp;IF($E314="","Interval missing.",IF(NOT(ISNUMBER($E314)),"Interval must be a number.",IF($E314&lt;&gt;INT($E314),"Interval must be whole months.",IF(OR($E314&lt;1,$E314&gt;240),"Interval must be 1-240 months.",""))))))</f>
        <v/>
      </c>
      <c r="J314" s="17" t="str">
        <f aca="false">IF(AND($A314="",$B314="",$C314="",$D314="",$E314=""),"",IF('Due List'!$B$4="Check details",IF($G314="Check details",ROW(),""),IF('Due List'!$B$4="All records",IF($G314="Check details",ROW()/100000,$F314+ROW()/100000),IF(OR($G314="Overdue",$G314="Due today",$G314="Due in next 30 days"),$F314+ROW()/100000,""))))</f>
        <v/>
      </c>
    </row>
    <row r="315" customFormat="false" ht="15" hidden="false" customHeight="false" outlineLevel="0" collapsed="false">
      <c r="A315" s="11"/>
      <c r="B315" s="11"/>
      <c r="C315" s="11"/>
      <c r="D315" s="12"/>
      <c r="E315" s="13"/>
      <c r="F315" s="14" t="str">
        <f aca="false">IF(OR(AND($A315="",$B315="",$C315="",$D315="",$E315=""),$I315&lt;&gt;""),"",EDATE($D315,$E315))</f>
        <v/>
      </c>
      <c r="G315" s="6" t="str">
        <f aca="false">IF(AND($A315="",$B315="",$C315="",$D315="",$E315=""),"",IF($I315&lt;&gt;"","Check details",IF($F315&lt;AsOf,"Overdue",IF($F315=AsOf,"Due today",IF($F315&lt;=AsOf+30,"Due in next 30 days","Later")))))</f>
        <v/>
      </c>
      <c r="H315" s="15" t="str">
        <f aca="false">IF($F315="","",$F315-AsOf)</f>
        <v/>
      </c>
      <c r="I315" s="16" t="str">
        <f aca="false">IF(AND($A315="",$B315="",$C315="",$D315="",$E315=""),"",TRIM(IF($A315="","Name missing. ","")&amp;IF($B315="","Site missing. ","")&amp;IF($D315="","Last service missing. ",IF(NOT(ISNUMBER($D315)),"Last service isn't a date. ",IF(OR($D315&lt;18264,$D315&lt;&gt;INT($D315)),"Last service isn't a valid date. ",IF($D315&gt;AsOf,"Last service is after the as-of date. ",""))))&amp;IF($E315="","Interval missing.",IF(NOT(ISNUMBER($E315)),"Interval must be a number.",IF($E315&lt;&gt;INT($E315),"Interval must be whole months.",IF(OR($E315&lt;1,$E315&gt;240),"Interval must be 1-240 months.",""))))))</f>
        <v/>
      </c>
      <c r="J315" s="17" t="str">
        <f aca="false">IF(AND($A315="",$B315="",$C315="",$D315="",$E315=""),"",IF('Due List'!$B$4="Check details",IF($G315="Check details",ROW(),""),IF('Due List'!$B$4="All records",IF($G315="Check details",ROW()/100000,$F315+ROW()/100000),IF(OR($G315="Overdue",$G315="Due today",$G315="Due in next 30 days"),$F315+ROW()/100000,""))))</f>
        <v/>
      </c>
    </row>
    <row r="316" customFormat="false" ht="15" hidden="false" customHeight="false" outlineLevel="0" collapsed="false">
      <c r="A316" s="11"/>
      <c r="B316" s="11"/>
      <c r="C316" s="11"/>
      <c r="D316" s="12"/>
      <c r="E316" s="13"/>
      <c r="F316" s="14" t="str">
        <f aca="false">IF(OR(AND($A316="",$B316="",$C316="",$D316="",$E316=""),$I316&lt;&gt;""),"",EDATE($D316,$E316))</f>
        <v/>
      </c>
      <c r="G316" s="6" t="str">
        <f aca="false">IF(AND($A316="",$B316="",$C316="",$D316="",$E316=""),"",IF($I316&lt;&gt;"","Check details",IF($F316&lt;AsOf,"Overdue",IF($F316=AsOf,"Due today",IF($F316&lt;=AsOf+30,"Due in next 30 days","Later")))))</f>
        <v/>
      </c>
      <c r="H316" s="15" t="str">
        <f aca="false">IF($F316="","",$F316-AsOf)</f>
        <v/>
      </c>
      <c r="I316" s="16" t="str">
        <f aca="false">IF(AND($A316="",$B316="",$C316="",$D316="",$E316=""),"",TRIM(IF($A316="","Name missing. ","")&amp;IF($B316="","Site missing. ","")&amp;IF($D316="","Last service missing. ",IF(NOT(ISNUMBER($D316)),"Last service isn't a date. ",IF(OR($D316&lt;18264,$D316&lt;&gt;INT($D316)),"Last service isn't a valid date. ",IF($D316&gt;AsOf,"Last service is after the as-of date. ",""))))&amp;IF($E316="","Interval missing.",IF(NOT(ISNUMBER($E316)),"Interval must be a number.",IF($E316&lt;&gt;INT($E316),"Interval must be whole months.",IF(OR($E316&lt;1,$E316&gt;240),"Interval must be 1-240 months.",""))))))</f>
        <v/>
      </c>
      <c r="J316" s="17" t="str">
        <f aca="false">IF(AND($A316="",$B316="",$C316="",$D316="",$E316=""),"",IF('Due List'!$B$4="Check details",IF($G316="Check details",ROW(),""),IF('Due List'!$B$4="All records",IF($G316="Check details",ROW()/100000,$F316+ROW()/100000),IF(OR($G316="Overdue",$G316="Due today",$G316="Due in next 30 days"),$F316+ROW()/100000,""))))</f>
        <v/>
      </c>
    </row>
    <row r="317" customFormat="false" ht="15" hidden="false" customHeight="false" outlineLevel="0" collapsed="false">
      <c r="A317" s="11"/>
      <c r="B317" s="11"/>
      <c r="C317" s="11"/>
      <c r="D317" s="12"/>
      <c r="E317" s="13"/>
      <c r="F317" s="14" t="str">
        <f aca="false">IF(OR(AND($A317="",$B317="",$C317="",$D317="",$E317=""),$I317&lt;&gt;""),"",EDATE($D317,$E317))</f>
        <v/>
      </c>
      <c r="G317" s="6" t="str">
        <f aca="false">IF(AND($A317="",$B317="",$C317="",$D317="",$E317=""),"",IF($I317&lt;&gt;"","Check details",IF($F317&lt;AsOf,"Overdue",IF($F317=AsOf,"Due today",IF($F317&lt;=AsOf+30,"Due in next 30 days","Later")))))</f>
        <v/>
      </c>
      <c r="H317" s="15" t="str">
        <f aca="false">IF($F317="","",$F317-AsOf)</f>
        <v/>
      </c>
      <c r="I317" s="16" t="str">
        <f aca="false">IF(AND($A317="",$B317="",$C317="",$D317="",$E317=""),"",TRIM(IF($A317="","Name missing. ","")&amp;IF($B317="","Site missing. ","")&amp;IF($D317="","Last service missing. ",IF(NOT(ISNUMBER($D317)),"Last service isn't a date. ",IF(OR($D317&lt;18264,$D317&lt;&gt;INT($D317)),"Last service isn't a valid date. ",IF($D317&gt;AsOf,"Last service is after the as-of date. ",""))))&amp;IF($E317="","Interval missing.",IF(NOT(ISNUMBER($E317)),"Interval must be a number.",IF($E317&lt;&gt;INT($E317),"Interval must be whole months.",IF(OR($E317&lt;1,$E317&gt;240),"Interval must be 1-240 months.",""))))))</f>
        <v/>
      </c>
      <c r="J317" s="17" t="str">
        <f aca="false">IF(AND($A317="",$B317="",$C317="",$D317="",$E317=""),"",IF('Due List'!$B$4="Check details",IF($G317="Check details",ROW(),""),IF('Due List'!$B$4="All records",IF($G317="Check details",ROW()/100000,$F317+ROW()/100000),IF(OR($G317="Overdue",$G317="Due today",$G317="Due in next 30 days"),$F317+ROW()/100000,""))))</f>
        <v/>
      </c>
    </row>
    <row r="318" customFormat="false" ht="15" hidden="false" customHeight="false" outlineLevel="0" collapsed="false">
      <c r="A318" s="11"/>
      <c r="B318" s="11"/>
      <c r="C318" s="11"/>
      <c r="D318" s="12"/>
      <c r="E318" s="13"/>
      <c r="F318" s="14" t="str">
        <f aca="false">IF(OR(AND($A318="",$B318="",$C318="",$D318="",$E318=""),$I318&lt;&gt;""),"",EDATE($D318,$E318))</f>
        <v/>
      </c>
      <c r="G318" s="6" t="str">
        <f aca="false">IF(AND($A318="",$B318="",$C318="",$D318="",$E318=""),"",IF($I318&lt;&gt;"","Check details",IF($F318&lt;AsOf,"Overdue",IF($F318=AsOf,"Due today",IF($F318&lt;=AsOf+30,"Due in next 30 days","Later")))))</f>
        <v/>
      </c>
      <c r="H318" s="15" t="str">
        <f aca="false">IF($F318="","",$F318-AsOf)</f>
        <v/>
      </c>
      <c r="I318" s="16" t="str">
        <f aca="false">IF(AND($A318="",$B318="",$C318="",$D318="",$E318=""),"",TRIM(IF($A318="","Name missing. ","")&amp;IF($B318="","Site missing. ","")&amp;IF($D318="","Last service missing. ",IF(NOT(ISNUMBER($D318)),"Last service isn't a date. ",IF(OR($D318&lt;18264,$D318&lt;&gt;INT($D318)),"Last service isn't a valid date. ",IF($D318&gt;AsOf,"Last service is after the as-of date. ",""))))&amp;IF($E318="","Interval missing.",IF(NOT(ISNUMBER($E318)),"Interval must be a number.",IF($E318&lt;&gt;INT($E318),"Interval must be whole months.",IF(OR($E318&lt;1,$E318&gt;240),"Interval must be 1-240 months.",""))))))</f>
        <v/>
      </c>
      <c r="J318" s="17" t="str">
        <f aca="false">IF(AND($A318="",$B318="",$C318="",$D318="",$E318=""),"",IF('Due List'!$B$4="Check details",IF($G318="Check details",ROW(),""),IF('Due List'!$B$4="All records",IF($G318="Check details",ROW()/100000,$F318+ROW()/100000),IF(OR($G318="Overdue",$G318="Due today",$G318="Due in next 30 days"),$F318+ROW()/100000,""))))</f>
        <v/>
      </c>
    </row>
    <row r="319" customFormat="false" ht="15" hidden="false" customHeight="false" outlineLevel="0" collapsed="false">
      <c r="A319" s="11"/>
      <c r="B319" s="11"/>
      <c r="C319" s="11"/>
      <c r="D319" s="12"/>
      <c r="E319" s="13"/>
      <c r="F319" s="14" t="str">
        <f aca="false">IF(OR(AND($A319="",$B319="",$C319="",$D319="",$E319=""),$I319&lt;&gt;""),"",EDATE($D319,$E319))</f>
        <v/>
      </c>
      <c r="G319" s="6" t="str">
        <f aca="false">IF(AND($A319="",$B319="",$C319="",$D319="",$E319=""),"",IF($I319&lt;&gt;"","Check details",IF($F319&lt;AsOf,"Overdue",IF($F319=AsOf,"Due today",IF($F319&lt;=AsOf+30,"Due in next 30 days","Later")))))</f>
        <v/>
      </c>
      <c r="H319" s="15" t="str">
        <f aca="false">IF($F319="","",$F319-AsOf)</f>
        <v/>
      </c>
      <c r="I319" s="16" t="str">
        <f aca="false">IF(AND($A319="",$B319="",$C319="",$D319="",$E319=""),"",TRIM(IF($A319="","Name missing. ","")&amp;IF($B319="","Site missing. ","")&amp;IF($D319="","Last service missing. ",IF(NOT(ISNUMBER($D319)),"Last service isn't a date. ",IF(OR($D319&lt;18264,$D319&lt;&gt;INT($D319)),"Last service isn't a valid date. ",IF($D319&gt;AsOf,"Last service is after the as-of date. ",""))))&amp;IF($E319="","Interval missing.",IF(NOT(ISNUMBER($E319)),"Interval must be a number.",IF($E319&lt;&gt;INT($E319),"Interval must be whole months.",IF(OR($E319&lt;1,$E319&gt;240),"Interval must be 1-240 months.",""))))))</f>
        <v/>
      </c>
      <c r="J319" s="17" t="str">
        <f aca="false">IF(AND($A319="",$B319="",$C319="",$D319="",$E319=""),"",IF('Due List'!$B$4="Check details",IF($G319="Check details",ROW(),""),IF('Due List'!$B$4="All records",IF($G319="Check details",ROW()/100000,$F319+ROW()/100000),IF(OR($G319="Overdue",$G319="Due today",$G319="Due in next 30 days"),$F319+ROW()/100000,""))))</f>
        <v/>
      </c>
    </row>
    <row r="320" customFormat="false" ht="15" hidden="false" customHeight="false" outlineLevel="0" collapsed="false">
      <c r="A320" s="11"/>
      <c r="B320" s="11"/>
      <c r="C320" s="11"/>
      <c r="D320" s="12"/>
      <c r="E320" s="13"/>
      <c r="F320" s="14" t="str">
        <f aca="false">IF(OR(AND($A320="",$B320="",$C320="",$D320="",$E320=""),$I320&lt;&gt;""),"",EDATE($D320,$E320))</f>
        <v/>
      </c>
      <c r="G320" s="6" t="str">
        <f aca="false">IF(AND($A320="",$B320="",$C320="",$D320="",$E320=""),"",IF($I320&lt;&gt;"","Check details",IF($F320&lt;AsOf,"Overdue",IF($F320=AsOf,"Due today",IF($F320&lt;=AsOf+30,"Due in next 30 days","Later")))))</f>
        <v/>
      </c>
      <c r="H320" s="15" t="str">
        <f aca="false">IF($F320="","",$F320-AsOf)</f>
        <v/>
      </c>
      <c r="I320" s="16" t="str">
        <f aca="false">IF(AND($A320="",$B320="",$C320="",$D320="",$E320=""),"",TRIM(IF($A320="","Name missing. ","")&amp;IF($B320="","Site missing. ","")&amp;IF($D320="","Last service missing. ",IF(NOT(ISNUMBER($D320)),"Last service isn't a date. ",IF(OR($D320&lt;18264,$D320&lt;&gt;INT($D320)),"Last service isn't a valid date. ",IF($D320&gt;AsOf,"Last service is after the as-of date. ",""))))&amp;IF($E320="","Interval missing.",IF(NOT(ISNUMBER($E320)),"Interval must be a number.",IF($E320&lt;&gt;INT($E320),"Interval must be whole months.",IF(OR($E320&lt;1,$E320&gt;240),"Interval must be 1-240 months.",""))))))</f>
        <v/>
      </c>
      <c r="J320" s="17" t="str">
        <f aca="false">IF(AND($A320="",$B320="",$C320="",$D320="",$E320=""),"",IF('Due List'!$B$4="Check details",IF($G320="Check details",ROW(),""),IF('Due List'!$B$4="All records",IF($G320="Check details",ROW()/100000,$F320+ROW()/100000),IF(OR($G320="Overdue",$G320="Due today",$G320="Due in next 30 days"),$F320+ROW()/100000,""))))</f>
        <v/>
      </c>
    </row>
    <row r="321" customFormat="false" ht="15" hidden="false" customHeight="false" outlineLevel="0" collapsed="false">
      <c r="A321" s="11"/>
      <c r="B321" s="11"/>
      <c r="C321" s="11"/>
      <c r="D321" s="12"/>
      <c r="E321" s="13"/>
      <c r="F321" s="14" t="str">
        <f aca="false">IF(OR(AND($A321="",$B321="",$C321="",$D321="",$E321=""),$I321&lt;&gt;""),"",EDATE($D321,$E321))</f>
        <v/>
      </c>
      <c r="G321" s="6" t="str">
        <f aca="false">IF(AND($A321="",$B321="",$C321="",$D321="",$E321=""),"",IF($I321&lt;&gt;"","Check details",IF($F321&lt;AsOf,"Overdue",IF($F321=AsOf,"Due today",IF($F321&lt;=AsOf+30,"Due in next 30 days","Later")))))</f>
        <v/>
      </c>
      <c r="H321" s="15" t="str">
        <f aca="false">IF($F321="","",$F321-AsOf)</f>
        <v/>
      </c>
      <c r="I321" s="16" t="str">
        <f aca="false">IF(AND($A321="",$B321="",$C321="",$D321="",$E321=""),"",TRIM(IF($A321="","Name missing. ","")&amp;IF($B321="","Site missing. ","")&amp;IF($D321="","Last service missing. ",IF(NOT(ISNUMBER($D321)),"Last service isn't a date. ",IF(OR($D321&lt;18264,$D321&lt;&gt;INT($D321)),"Last service isn't a valid date. ",IF($D321&gt;AsOf,"Last service is after the as-of date. ",""))))&amp;IF($E321="","Interval missing.",IF(NOT(ISNUMBER($E321)),"Interval must be a number.",IF($E321&lt;&gt;INT($E321),"Interval must be whole months.",IF(OR($E321&lt;1,$E321&gt;240),"Interval must be 1-240 months.",""))))))</f>
        <v/>
      </c>
      <c r="J321" s="17" t="str">
        <f aca="false">IF(AND($A321="",$B321="",$C321="",$D321="",$E321=""),"",IF('Due List'!$B$4="Check details",IF($G321="Check details",ROW(),""),IF('Due List'!$B$4="All records",IF($G321="Check details",ROW()/100000,$F321+ROW()/100000),IF(OR($G321="Overdue",$G321="Due today",$G321="Due in next 30 days"),$F321+ROW()/100000,""))))</f>
        <v/>
      </c>
    </row>
    <row r="322" customFormat="false" ht="15" hidden="false" customHeight="false" outlineLevel="0" collapsed="false">
      <c r="A322" s="11"/>
      <c r="B322" s="11"/>
      <c r="C322" s="11"/>
      <c r="D322" s="12"/>
      <c r="E322" s="13"/>
      <c r="F322" s="14" t="str">
        <f aca="false">IF(OR(AND($A322="",$B322="",$C322="",$D322="",$E322=""),$I322&lt;&gt;""),"",EDATE($D322,$E322))</f>
        <v/>
      </c>
      <c r="G322" s="6" t="str">
        <f aca="false">IF(AND($A322="",$B322="",$C322="",$D322="",$E322=""),"",IF($I322&lt;&gt;"","Check details",IF($F322&lt;AsOf,"Overdue",IF($F322=AsOf,"Due today",IF($F322&lt;=AsOf+30,"Due in next 30 days","Later")))))</f>
        <v/>
      </c>
      <c r="H322" s="15" t="str">
        <f aca="false">IF($F322="","",$F322-AsOf)</f>
        <v/>
      </c>
      <c r="I322" s="16" t="str">
        <f aca="false">IF(AND($A322="",$B322="",$C322="",$D322="",$E322=""),"",TRIM(IF($A322="","Name missing. ","")&amp;IF($B322="","Site missing. ","")&amp;IF($D322="","Last service missing. ",IF(NOT(ISNUMBER($D322)),"Last service isn't a date. ",IF(OR($D322&lt;18264,$D322&lt;&gt;INT($D322)),"Last service isn't a valid date. ",IF($D322&gt;AsOf,"Last service is after the as-of date. ",""))))&amp;IF($E322="","Interval missing.",IF(NOT(ISNUMBER($E322)),"Interval must be a number.",IF($E322&lt;&gt;INT($E322),"Interval must be whole months.",IF(OR($E322&lt;1,$E322&gt;240),"Interval must be 1-240 months.",""))))))</f>
        <v/>
      </c>
      <c r="J322" s="17" t="str">
        <f aca="false">IF(AND($A322="",$B322="",$C322="",$D322="",$E322=""),"",IF('Due List'!$B$4="Check details",IF($G322="Check details",ROW(),""),IF('Due List'!$B$4="All records",IF($G322="Check details",ROW()/100000,$F322+ROW()/100000),IF(OR($G322="Overdue",$G322="Due today",$G322="Due in next 30 days"),$F322+ROW()/100000,""))))</f>
        <v/>
      </c>
    </row>
    <row r="323" customFormat="false" ht="15" hidden="false" customHeight="false" outlineLevel="0" collapsed="false">
      <c r="A323" s="11"/>
      <c r="B323" s="11"/>
      <c r="C323" s="11"/>
      <c r="D323" s="12"/>
      <c r="E323" s="13"/>
      <c r="F323" s="14" t="str">
        <f aca="false">IF(OR(AND($A323="",$B323="",$C323="",$D323="",$E323=""),$I323&lt;&gt;""),"",EDATE($D323,$E323))</f>
        <v/>
      </c>
      <c r="G323" s="6" t="str">
        <f aca="false">IF(AND($A323="",$B323="",$C323="",$D323="",$E323=""),"",IF($I323&lt;&gt;"","Check details",IF($F323&lt;AsOf,"Overdue",IF($F323=AsOf,"Due today",IF($F323&lt;=AsOf+30,"Due in next 30 days","Later")))))</f>
        <v/>
      </c>
      <c r="H323" s="15" t="str">
        <f aca="false">IF($F323="","",$F323-AsOf)</f>
        <v/>
      </c>
      <c r="I323" s="16" t="str">
        <f aca="false">IF(AND($A323="",$B323="",$C323="",$D323="",$E323=""),"",TRIM(IF($A323="","Name missing. ","")&amp;IF($B323="","Site missing. ","")&amp;IF($D323="","Last service missing. ",IF(NOT(ISNUMBER($D323)),"Last service isn't a date. ",IF(OR($D323&lt;18264,$D323&lt;&gt;INT($D323)),"Last service isn't a valid date. ",IF($D323&gt;AsOf,"Last service is after the as-of date. ",""))))&amp;IF($E323="","Interval missing.",IF(NOT(ISNUMBER($E323)),"Interval must be a number.",IF($E323&lt;&gt;INT($E323),"Interval must be whole months.",IF(OR($E323&lt;1,$E323&gt;240),"Interval must be 1-240 months.",""))))))</f>
        <v/>
      </c>
      <c r="J323" s="17" t="str">
        <f aca="false">IF(AND($A323="",$B323="",$C323="",$D323="",$E323=""),"",IF('Due List'!$B$4="Check details",IF($G323="Check details",ROW(),""),IF('Due List'!$B$4="All records",IF($G323="Check details",ROW()/100000,$F323+ROW()/100000),IF(OR($G323="Overdue",$G323="Due today",$G323="Due in next 30 days"),$F323+ROW()/100000,""))))</f>
        <v/>
      </c>
    </row>
    <row r="324" customFormat="false" ht="15" hidden="false" customHeight="false" outlineLevel="0" collapsed="false">
      <c r="A324" s="11"/>
      <c r="B324" s="11"/>
      <c r="C324" s="11"/>
      <c r="D324" s="12"/>
      <c r="E324" s="13"/>
      <c r="F324" s="14" t="str">
        <f aca="false">IF(OR(AND($A324="",$B324="",$C324="",$D324="",$E324=""),$I324&lt;&gt;""),"",EDATE($D324,$E324))</f>
        <v/>
      </c>
      <c r="G324" s="6" t="str">
        <f aca="false">IF(AND($A324="",$B324="",$C324="",$D324="",$E324=""),"",IF($I324&lt;&gt;"","Check details",IF($F324&lt;AsOf,"Overdue",IF($F324=AsOf,"Due today",IF($F324&lt;=AsOf+30,"Due in next 30 days","Later")))))</f>
        <v/>
      </c>
      <c r="H324" s="15" t="str">
        <f aca="false">IF($F324="","",$F324-AsOf)</f>
        <v/>
      </c>
      <c r="I324" s="16" t="str">
        <f aca="false">IF(AND($A324="",$B324="",$C324="",$D324="",$E324=""),"",TRIM(IF($A324="","Name missing. ","")&amp;IF($B324="","Site missing. ","")&amp;IF($D324="","Last service missing. ",IF(NOT(ISNUMBER($D324)),"Last service isn't a date. ",IF(OR($D324&lt;18264,$D324&lt;&gt;INT($D324)),"Last service isn't a valid date. ",IF($D324&gt;AsOf,"Last service is after the as-of date. ",""))))&amp;IF($E324="","Interval missing.",IF(NOT(ISNUMBER($E324)),"Interval must be a number.",IF($E324&lt;&gt;INT($E324),"Interval must be whole months.",IF(OR($E324&lt;1,$E324&gt;240),"Interval must be 1-240 months.",""))))))</f>
        <v/>
      </c>
      <c r="J324" s="17" t="str">
        <f aca="false">IF(AND($A324="",$B324="",$C324="",$D324="",$E324=""),"",IF('Due List'!$B$4="Check details",IF($G324="Check details",ROW(),""),IF('Due List'!$B$4="All records",IF($G324="Check details",ROW()/100000,$F324+ROW()/100000),IF(OR($G324="Overdue",$G324="Due today",$G324="Due in next 30 days"),$F324+ROW()/100000,""))))</f>
        <v/>
      </c>
    </row>
    <row r="325" customFormat="false" ht="15" hidden="false" customHeight="false" outlineLevel="0" collapsed="false">
      <c r="A325" s="11"/>
      <c r="B325" s="11"/>
      <c r="C325" s="11"/>
      <c r="D325" s="12"/>
      <c r="E325" s="13"/>
      <c r="F325" s="14" t="str">
        <f aca="false">IF(OR(AND($A325="",$B325="",$C325="",$D325="",$E325=""),$I325&lt;&gt;""),"",EDATE($D325,$E325))</f>
        <v/>
      </c>
      <c r="G325" s="6" t="str">
        <f aca="false">IF(AND($A325="",$B325="",$C325="",$D325="",$E325=""),"",IF($I325&lt;&gt;"","Check details",IF($F325&lt;AsOf,"Overdue",IF($F325=AsOf,"Due today",IF($F325&lt;=AsOf+30,"Due in next 30 days","Later")))))</f>
        <v/>
      </c>
      <c r="H325" s="15" t="str">
        <f aca="false">IF($F325="","",$F325-AsOf)</f>
        <v/>
      </c>
      <c r="I325" s="16" t="str">
        <f aca="false">IF(AND($A325="",$B325="",$C325="",$D325="",$E325=""),"",TRIM(IF($A325="","Name missing. ","")&amp;IF($B325="","Site missing. ","")&amp;IF($D325="","Last service missing. ",IF(NOT(ISNUMBER($D325)),"Last service isn't a date. ",IF(OR($D325&lt;18264,$D325&lt;&gt;INT($D325)),"Last service isn't a valid date. ",IF($D325&gt;AsOf,"Last service is after the as-of date. ",""))))&amp;IF($E325="","Interval missing.",IF(NOT(ISNUMBER($E325)),"Interval must be a number.",IF($E325&lt;&gt;INT($E325),"Interval must be whole months.",IF(OR($E325&lt;1,$E325&gt;240),"Interval must be 1-240 months.",""))))))</f>
        <v/>
      </c>
      <c r="J325" s="17" t="str">
        <f aca="false">IF(AND($A325="",$B325="",$C325="",$D325="",$E325=""),"",IF('Due List'!$B$4="Check details",IF($G325="Check details",ROW(),""),IF('Due List'!$B$4="All records",IF($G325="Check details",ROW()/100000,$F325+ROW()/100000),IF(OR($G325="Overdue",$G325="Due today",$G325="Due in next 30 days"),$F325+ROW()/100000,""))))</f>
        <v/>
      </c>
    </row>
    <row r="326" customFormat="false" ht="15" hidden="false" customHeight="false" outlineLevel="0" collapsed="false">
      <c r="A326" s="11"/>
      <c r="B326" s="11"/>
      <c r="C326" s="11"/>
      <c r="D326" s="12"/>
      <c r="E326" s="13"/>
      <c r="F326" s="14" t="str">
        <f aca="false">IF(OR(AND($A326="",$B326="",$C326="",$D326="",$E326=""),$I326&lt;&gt;""),"",EDATE($D326,$E326))</f>
        <v/>
      </c>
      <c r="G326" s="6" t="str">
        <f aca="false">IF(AND($A326="",$B326="",$C326="",$D326="",$E326=""),"",IF($I326&lt;&gt;"","Check details",IF($F326&lt;AsOf,"Overdue",IF($F326=AsOf,"Due today",IF($F326&lt;=AsOf+30,"Due in next 30 days","Later")))))</f>
        <v/>
      </c>
      <c r="H326" s="15" t="str">
        <f aca="false">IF($F326="","",$F326-AsOf)</f>
        <v/>
      </c>
      <c r="I326" s="16" t="str">
        <f aca="false">IF(AND($A326="",$B326="",$C326="",$D326="",$E326=""),"",TRIM(IF($A326="","Name missing. ","")&amp;IF($B326="","Site missing. ","")&amp;IF($D326="","Last service missing. ",IF(NOT(ISNUMBER($D326)),"Last service isn't a date. ",IF(OR($D326&lt;18264,$D326&lt;&gt;INT($D326)),"Last service isn't a valid date. ",IF($D326&gt;AsOf,"Last service is after the as-of date. ",""))))&amp;IF($E326="","Interval missing.",IF(NOT(ISNUMBER($E326)),"Interval must be a number.",IF($E326&lt;&gt;INT($E326),"Interval must be whole months.",IF(OR($E326&lt;1,$E326&gt;240),"Interval must be 1-240 months.",""))))))</f>
        <v/>
      </c>
      <c r="J326" s="17" t="str">
        <f aca="false">IF(AND($A326="",$B326="",$C326="",$D326="",$E326=""),"",IF('Due List'!$B$4="Check details",IF($G326="Check details",ROW(),""),IF('Due List'!$B$4="All records",IF($G326="Check details",ROW()/100000,$F326+ROW()/100000),IF(OR($G326="Overdue",$G326="Due today",$G326="Due in next 30 days"),$F326+ROW()/100000,""))))</f>
        <v/>
      </c>
    </row>
    <row r="327" customFormat="false" ht="15" hidden="false" customHeight="false" outlineLevel="0" collapsed="false">
      <c r="A327" s="11"/>
      <c r="B327" s="11"/>
      <c r="C327" s="11"/>
      <c r="D327" s="12"/>
      <c r="E327" s="13"/>
      <c r="F327" s="14" t="str">
        <f aca="false">IF(OR(AND($A327="",$B327="",$C327="",$D327="",$E327=""),$I327&lt;&gt;""),"",EDATE($D327,$E327))</f>
        <v/>
      </c>
      <c r="G327" s="6" t="str">
        <f aca="false">IF(AND($A327="",$B327="",$C327="",$D327="",$E327=""),"",IF($I327&lt;&gt;"","Check details",IF($F327&lt;AsOf,"Overdue",IF($F327=AsOf,"Due today",IF($F327&lt;=AsOf+30,"Due in next 30 days","Later")))))</f>
        <v/>
      </c>
      <c r="H327" s="15" t="str">
        <f aca="false">IF($F327="","",$F327-AsOf)</f>
        <v/>
      </c>
      <c r="I327" s="16" t="str">
        <f aca="false">IF(AND($A327="",$B327="",$C327="",$D327="",$E327=""),"",TRIM(IF($A327="","Name missing. ","")&amp;IF($B327="","Site missing. ","")&amp;IF($D327="","Last service missing. ",IF(NOT(ISNUMBER($D327)),"Last service isn't a date. ",IF(OR($D327&lt;18264,$D327&lt;&gt;INT($D327)),"Last service isn't a valid date. ",IF($D327&gt;AsOf,"Last service is after the as-of date. ",""))))&amp;IF($E327="","Interval missing.",IF(NOT(ISNUMBER($E327)),"Interval must be a number.",IF($E327&lt;&gt;INT($E327),"Interval must be whole months.",IF(OR($E327&lt;1,$E327&gt;240),"Interval must be 1-240 months.",""))))))</f>
        <v/>
      </c>
      <c r="J327" s="17" t="str">
        <f aca="false">IF(AND($A327="",$B327="",$C327="",$D327="",$E327=""),"",IF('Due List'!$B$4="Check details",IF($G327="Check details",ROW(),""),IF('Due List'!$B$4="All records",IF($G327="Check details",ROW()/100000,$F327+ROW()/100000),IF(OR($G327="Overdue",$G327="Due today",$G327="Due in next 30 days"),$F327+ROW()/100000,""))))</f>
        <v/>
      </c>
    </row>
    <row r="328" customFormat="false" ht="15" hidden="false" customHeight="false" outlineLevel="0" collapsed="false">
      <c r="A328" s="11"/>
      <c r="B328" s="11"/>
      <c r="C328" s="11"/>
      <c r="D328" s="12"/>
      <c r="E328" s="13"/>
      <c r="F328" s="14" t="str">
        <f aca="false">IF(OR(AND($A328="",$B328="",$C328="",$D328="",$E328=""),$I328&lt;&gt;""),"",EDATE($D328,$E328))</f>
        <v/>
      </c>
      <c r="G328" s="6" t="str">
        <f aca="false">IF(AND($A328="",$B328="",$C328="",$D328="",$E328=""),"",IF($I328&lt;&gt;"","Check details",IF($F328&lt;AsOf,"Overdue",IF($F328=AsOf,"Due today",IF($F328&lt;=AsOf+30,"Due in next 30 days","Later")))))</f>
        <v/>
      </c>
      <c r="H328" s="15" t="str">
        <f aca="false">IF($F328="","",$F328-AsOf)</f>
        <v/>
      </c>
      <c r="I328" s="16" t="str">
        <f aca="false">IF(AND($A328="",$B328="",$C328="",$D328="",$E328=""),"",TRIM(IF($A328="","Name missing. ","")&amp;IF($B328="","Site missing. ","")&amp;IF($D328="","Last service missing. ",IF(NOT(ISNUMBER($D328)),"Last service isn't a date. ",IF(OR($D328&lt;18264,$D328&lt;&gt;INT($D328)),"Last service isn't a valid date. ",IF($D328&gt;AsOf,"Last service is after the as-of date. ",""))))&amp;IF($E328="","Interval missing.",IF(NOT(ISNUMBER($E328)),"Interval must be a number.",IF($E328&lt;&gt;INT($E328),"Interval must be whole months.",IF(OR($E328&lt;1,$E328&gt;240),"Interval must be 1-240 months.",""))))))</f>
        <v/>
      </c>
      <c r="J328" s="17" t="str">
        <f aca="false">IF(AND($A328="",$B328="",$C328="",$D328="",$E328=""),"",IF('Due List'!$B$4="Check details",IF($G328="Check details",ROW(),""),IF('Due List'!$B$4="All records",IF($G328="Check details",ROW()/100000,$F328+ROW()/100000),IF(OR($G328="Overdue",$G328="Due today",$G328="Due in next 30 days"),$F328+ROW()/100000,""))))</f>
        <v/>
      </c>
    </row>
    <row r="329" customFormat="false" ht="15" hidden="false" customHeight="false" outlineLevel="0" collapsed="false">
      <c r="A329" s="11"/>
      <c r="B329" s="11"/>
      <c r="C329" s="11"/>
      <c r="D329" s="12"/>
      <c r="E329" s="13"/>
      <c r="F329" s="14" t="str">
        <f aca="false">IF(OR(AND($A329="",$B329="",$C329="",$D329="",$E329=""),$I329&lt;&gt;""),"",EDATE($D329,$E329))</f>
        <v/>
      </c>
      <c r="G329" s="6" t="str">
        <f aca="false">IF(AND($A329="",$B329="",$C329="",$D329="",$E329=""),"",IF($I329&lt;&gt;"","Check details",IF($F329&lt;AsOf,"Overdue",IF($F329=AsOf,"Due today",IF($F329&lt;=AsOf+30,"Due in next 30 days","Later")))))</f>
        <v/>
      </c>
      <c r="H329" s="15" t="str">
        <f aca="false">IF($F329="","",$F329-AsOf)</f>
        <v/>
      </c>
      <c r="I329" s="16" t="str">
        <f aca="false">IF(AND($A329="",$B329="",$C329="",$D329="",$E329=""),"",TRIM(IF($A329="","Name missing. ","")&amp;IF($B329="","Site missing. ","")&amp;IF($D329="","Last service missing. ",IF(NOT(ISNUMBER($D329)),"Last service isn't a date. ",IF(OR($D329&lt;18264,$D329&lt;&gt;INT($D329)),"Last service isn't a valid date. ",IF($D329&gt;AsOf,"Last service is after the as-of date. ",""))))&amp;IF($E329="","Interval missing.",IF(NOT(ISNUMBER($E329)),"Interval must be a number.",IF($E329&lt;&gt;INT($E329),"Interval must be whole months.",IF(OR($E329&lt;1,$E329&gt;240),"Interval must be 1-240 months.",""))))))</f>
        <v/>
      </c>
      <c r="J329" s="17" t="str">
        <f aca="false">IF(AND($A329="",$B329="",$C329="",$D329="",$E329=""),"",IF('Due List'!$B$4="Check details",IF($G329="Check details",ROW(),""),IF('Due List'!$B$4="All records",IF($G329="Check details",ROW()/100000,$F329+ROW()/100000),IF(OR($G329="Overdue",$G329="Due today",$G329="Due in next 30 days"),$F329+ROW()/100000,""))))</f>
        <v/>
      </c>
    </row>
    <row r="330" customFormat="false" ht="15" hidden="false" customHeight="false" outlineLevel="0" collapsed="false">
      <c r="A330" s="11"/>
      <c r="B330" s="11"/>
      <c r="C330" s="11"/>
      <c r="D330" s="12"/>
      <c r="E330" s="13"/>
      <c r="F330" s="14" t="str">
        <f aca="false">IF(OR(AND($A330="",$B330="",$C330="",$D330="",$E330=""),$I330&lt;&gt;""),"",EDATE($D330,$E330))</f>
        <v/>
      </c>
      <c r="G330" s="6" t="str">
        <f aca="false">IF(AND($A330="",$B330="",$C330="",$D330="",$E330=""),"",IF($I330&lt;&gt;"","Check details",IF($F330&lt;AsOf,"Overdue",IF($F330=AsOf,"Due today",IF($F330&lt;=AsOf+30,"Due in next 30 days","Later")))))</f>
        <v/>
      </c>
      <c r="H330" s="15" t="str">
        <f aca="false">IF($F330="","",$F330-AsOf)</f>
        <v/>
      </c>
      <c r="I330" s="16" t="str">
        <f aca="false">IF(AND($A330="",$B330="",$C330="",$D330="",$E330=""),"",TRIM(IF($A330="","Name missing. ","")&amp;IF($B330="","Site missing. ","")&amp;IF($D330="","Last service missing. ",IF(NOT(ISNUMBER($D330)),"Last service isn't a date. ",IF(OR($D330&lt;18264,$D330&lt;&gt;INT($D330)),"Last service isn't a valid date. ",IF($D330&gt;AsOf,"Last service is after the as-of date. ",""))))&amp;IF($E330="","Interval missing.",IF(NOT(ISNUMBER($E330)),"Interval must be a number.",IF($E330&lt;&gt;INT($E330),"Interval must be whole months.",IF(OR($E330&lt;1,$E330&gt;240),"Interval must be 1-240 months.",""))))))</f>
        <v/>
      </c>
      <c r="J330" s="17" t="str">
        <f aca="false">IF(AND($A330="",$B330="",$C330="",$D330="",$E330=""),"",IF('Due List'!$B$4="Check details",IF($G330="Check details",ROW(),""),IF('Due List'!$B$4="All records",IF($G330="Check details",ROW()/100000,$F330+ROW()/100000),IF(OR($G330="Overdue",$G330="Due today",$G330="Due in next 30 days"),$F330+ROW()/100000,""))))</f>
        <v/>
      </c>
    </row>
    <row r="331" customFormat="false" ht="15" hidden="false" customHeight="false" outlineLevel="0" collapsed="false">
      <c r="A331" s="11"/>
      <c r="B331" s="11"/>
      <c r="C331" s="11"/>
      <c r="D331" s="12"/>
      <c r="E331" s="13"/>
      <c r="F331" s="14" t="str">
        <f aca="false">IF(OR(AND($A331="",$B331="",$C331="",$D331="",$E331=""),$I331&lt;&gt;""),"",EDATE($D331,$E331))</f>
        <v/>
      </c>
      <c r="G331" s="6" t="str">
        <f aca="false">IF(AND($A331="",$B331="",$C331="",$D331="",$E331=""),"",IF($I331&lt;&gt;"","Check details",IF($F331&lt;AsOf,"Overdue",IF($F331=AsOf,"Due today",IF($F331&lt;=AsOf+30,"Due in next 30 days","Later")))))</f>
        <v/>
      </c>
      <c r="H331" s="15" t="str">
        <f aca="false">IF($F331="","",$F331-AsOf)</f>
        <v/>
      </c>
      <c r="I331" s="16" t="str">
        <f aca="false">IF(AND($A331="",$B331="",$C331="",$D331="",$E331=""),"",TRIM(IF($A331="","Name missing. ","")&amp;IF($B331="","Site missing. ","")&amp;IF($D331="","Last service missing. ",IF(NOT(ISNUMBER($D331)),"Last service isn't a date. ",IF(OR($D331&lt;18264,$D331&lt;&gt;INT($D331)),"Last service isn't a valid date. ",IF($D331&gt;AsOf,"Last service is after the as-of date. ",""))))&amp;IF($E331="","Interval missing.",IF(NOT(ISNUMBER($E331)),"Interval must be a number.",IF($E331&lt;&gt;INT($E331),"Interval must be whole months.",IF(OR($E331&lt;1,$E331&gt;240),"Interval must be 1-240 months.",""))))))</f>
        <v/>
      </c>
      <c r="J331" s="17" t="str">
        <f aca="false">IF(AND($A331="",$B331="",$C331="",$D331="",$E331=""),"",IF('Due List'!$B$4="Check details",IF($G331="Check details",ROW(),""),IF('Due List'!$B$4="All records",IF($G331="Check details",ROW()/100000,$F331+ROW()/100000),IF(OR($G331="Overdue",$G331="Due today",$G331="Due in next 30 days"),$F331+ROW()/100000,""))))</f>
        <v/>
      </c>
    </row>
    <row r="332" customFormat="false" ht="15" hidden="false" customHeight="false" outlineLevel="0" collapsed="false">
      <c r="A332" s="11"/>
      <c r="B332" s="11"/>
      <c r="C332" s="11"/>
      <c r="D332" s="12"/>
      <c r="E332" s="13"/>
      <c r="F332" s="14" t="str">
        <f aca="false">IF(OR(AND($A332="",$B332="",$C332="",$D332="",$E332=""),$I332&lt;&gt;""),"",EDATE($D332,$E332))</f>
        <v/>
      </c>
      <c r="G332" s="6" t="str">
        <f aca="false">IF(AND($A332="",$B332="",$C332="",$D332="",$E332=""),"",IF($I332&lt;&gt;"","Check details",IF($F332&lt;AsOf,"Overdue",IF($F332=AsOf,"Due today",IF($F332&lt;=AsOf+30,"Due in next 30 days","Later")))))</f>
        <v/>
      </c>
      <c r="H332" s="15" t="str">
        <f aca="false">IF($F332="","",$F332-AsOf)</f>
        <v/>
      </c>
      <c r="I332" s="16" t="str">
        <f aca="false">IF(AND($A332="",$B332="",$C332="",$D332="",$E332=""),"",TRIM(IF($A332="","Name missing. ","")&amp;IF($B332="","Site missing. ","")&amp;IF($D332="","Last service missing. ",IF(NOT(ISNUMBER($D332)),"Last service isn't a date. ",IF(OR($D332&lt;18264,$D332&lt;&gt;INT($D332)),"Last service isn't a valid date. ",IF($D332&gt;AsOf,"Last service is after the as-of date. ",""))))&amp;IF($E332="","Interval missing.",IF(NOT(ISNUMBER($E332)),"Interval must be a number.",IF($E332&lt;&gt;INT($E332),"Interval must be whole months.",IF(OR($E332&lt;1,$E332&gt;240),"Interval must be 1-240 months.",""))))))</f>
        <v/>
      </c>
      <c r="J332" s="17" t="str">
        <f aca="false">IF(AND($A332="",$B332="",$C332="",$D332="",$E332=""),"",IF('Due List'!$B$4="Check details",IF($G332="Check details",ROW(),""),IF('Due List'!$B$4="All records",IF($G332="Check details",ROW()/100000,$F332+ROW()/100000),IF(OR($G332="Overdue",$G332="Due today",$G332="Due in next 30 days"),$F332+ROW()/100000,""))))</f>
        <v/>
      </c>
    </row>
    <row r="333" customFormat="false" ht="15" hidden="false" customHeight="false" outlineLevel="0" collapsed="false">
      <c r="A333" s="11"/>
      <c r="B333" s="11"/>
      <c r="C333" s="11"/>
      <c r="D333" s="12"/>
      <c r="E333" s="13"/>
      <c r="F333" s="14" t="str">
        <f aca="false">IF(OR(AND($A333="",$B333="",$C333="",$D333="",$E333=""),$I333&lt;&gt;""),"",EDATE($D333,$E333))</f>
        <v/>
      </c>
      <c r="G333" s="6" t="str">
        <f aca="false">IF(AND($A333="",$B333="",$C333="",$D333="",$E333=""),"",IF($I333&lt;&gt;"","Check details",IF($F333&lt;AsOf,"Overdue",IF($F333=AsOf,"Due today",IF($F333&lt;=AsOf+30,"Due in next 30 days","Later")))))</f>
        <v/>
      </c>
      <c r="H333" s="15" t="str">
        <f aca="false">IF($F333="","",$F333-AsOf)</f>
        <v/>
      </c>
      <c r="I333" s="16" t="str">
        <f aca="false">IF(AND($A333="",$B333="",$C333="",$D333="",$E333=""),"",TRIM(IF($A333="","Name missing. ","")&amp;IF($B333="","Site missing. ","")&amp;IF($D333="","Last service missing. ",IF(NOT(ISNUMBER($D333)),"Last service isn't a date. ",IF(OR($D333&lt;18264,$D333&lt;&gt;INT($D333)),"Last service isn't a valid date. ",IF($D333&gt;AsOf,"Last service is after the as-of date. ",""))))&amp;IF($E333="","Interval missing.",IF(NOT(ISNUMBER($E333)),"Interval must be a number.",IF($E333&lt;&gt;INT($E333),"Interval must be whole months.",IF(OR($E333&lt;1,$E333&gt;240),"Interval must be 1-240 months.",""))))))</f>
        <v/>
      </c>
      <c r="J333" s="17" t="str">
        <f aca="false">IF(AND($A333="",$B333="",$C333="",$D333="",$E333=""),"",IF('Due List'!$B$4="Check details",IF($G333="Check details",ROW(),""),IF('Due List'!$B$4="All records",IF($G333="Check details",ROW()/100000,$F333+ROW()/100000),IF(OR($G333="Overdue",$G333="Due today",$G333="Due in next 30 days"),$F333+ROW()/100000,""))))</f>
        <v/>
      </c>
    </row>
    <row r="334" customFormat="false" ht="15" hidden="false" customHeight="false" outlineLevel="0" collapsed="false">
      <c r="A334" s="11"/>
      <c r="B334" s="11"/>
      <c r="C334" s="11"/>
      <c r="D334" s="12"/>
      <c r="E334" s="13"/>
      <c r="F334" s="14" t="str">
        <f aca="false">IF(OR(AND($A334="",$B334="",$C334="",$D334="",$E334=""),$I334&lt;&gt;""),"",EDATE($D334,$E334))</f>
        <v/>
      </c>
      <c r="G334" s="6" t="str">
        <f aca="false">IF(AND($A334="",$B334="",$C334="",$D334="",$E334=""),"",IF($I334&lt;&gt;"","Check details",IF($F334&lt;AsOf,"Overdue",IF($F334=AsOf,"Due today",IF($F334&lt;=AsOf+30,"Due in next 30 days","Later")))))</f>
        <v/>
      </c>
      <c r="H334" s="15" t="str">
        <f aca="false">IF($F334="","",$F334-AsOf)</f>
        <v/>
      </c>
      <c r="I334" s="16" t="str">
        <f aca="false">IF(AND($A334="",$B334="",$C334="",$D334="",$E334=""),"",TRIM(IF($A334="","Name missing. ","")&amp;IF($B334="","Site missing. ","")&amp;IF($D334="","Last service missing. ",IF(NOT(ISNUMBER($D334)),"Last service isn't a date. ",IF(OR($D334&lt;18264,$D334&lt;&gt;INT($D334)),"Last service isn't a valid date. ",IF($D334&gt;AsOf,"Last service is after the as-of date. ",""))))&amp;IF($E334="","Interval missing.",IF(NOT(ISNUMBER($E334)),"Interval must be a number.",IF($E334&lt;&gt;INT($E334),"Interval must be whole months.",IF(OR($E334&lt;1,$E334&gt;240),"Interval must be 1-240 months.",""))))))</f>
        <v/>
      </c>
      <c r="J334" s="17" t="str">
        <f aca="false">IF(AND($A334="",$B334="",$C334="",$D334="",$E334=""),"",IF('Due List'!$B$4="Check details",IF($G334="Check details",ROW(),""),IF('Due List'!$B$4="All records",IF($G334="Check details",ROW()/100000,$F334+ROW()/100000),IF(OR($G334="Overdue",$G334="Due today",$G334="Due in next 30 days"),$F334+ROW()/100000,""))))</f>
        <v/>
      </c>
    </row>
    <row r="335" customFormat="false" ht="15" hidden="false" customHeight="false" outlineLevel="0" collapsed="false">
      <c r="A335" s="11"/>
      <c r="B335" s="11"/>
      <c r="C335" s="11"/>
      <c r="D335" s="12"/>
      <c r="E335" s="13"/>
      <c r="F335" s="14" t="str">
        <f aca="false">IF(OR(AND($A335="",$B335="",$C335="",$D335="",$E335=""),$I335&lt;&gt;""),"",EDATE($D335,$E335))</f>
        <v/>
      </c>
      <c r="G335" s="6" t="str">
        <f aca="false">IF(AND($A335="",$B335="",$C335="",$D335="",$E335=""),"",IF($I335&lt;&gt;"","Check details",IF($F335&lt;AsOf,"Overdue",IF($F335=AsOf,"Due today",IF($F335&lt;=AsOf+30,"Due in next 30 days","Later")))))</f>
        <v/>
      </c>
      <c r="H335" s="15" t="str">
        <f aca="false">IF($F335="","",$F335-AsOf)</f>
        <v/>
      </c>
      <c r="I335" s="16" t="str">
        <f aca="false">IF(AND($A335="",$B335="",$C335="",$D335="",$E335=""),"",TRIM(IF($A335="","Name missing. ","")&amp;IF($B335="","Site missing. ","")&amp;IF($D335="","Last service missing. ",IF(NOT(ISNUMBER($D335)),"Last service isn't a date. ",IF(OR($D335&lt;18264,$D335&lt;&gt;INT($D335)),"Last service isn't a valid date. ",IF($D335&gt;AsOf,"Last service is after the as-of date. ",""))))&amp;IF($E335="","Interval missing.",IF(NOT(ISNUMBER($E335)),"Interval must be a number.",IF($E335&lt;&gt;INT($E335),"Interval must be whole months.",IF(OR($E335&lt;1,$E335&gt;240),"Interval must be 1-240 months.",""))))))</f>
        <v/>
      </c>
      <c r="J335" s="17" t="str">
        <f aca="false">IF(AND($A335="",$B335="",$C335="",$D335="",$E335=""),"",IF('Due List'!$B$4="Check details",IF($G335="Check details",ROW(),""),IF('Due List'!$B$4="All records",IF($G335="Check details",ROW()/100000,$F335+ROW()/100000),IF(OR($G335="Overdue",$G335="Due today",$G335="Due in next 30 days"),$F335+ROW()/100000,""))))</f>
        <v/>
      </c>
    </row>
    <row r="336" customFormat="false" ht="15" hidden="false" customHeight="false" outlineLevel="0" collapsed="false">
      <c r="A336" s="11"/>
      <c r="B336" s="11"/>
      <c r="C336" s="11"/>
      <c r="D336" s="12"/>
      <c r="E336" s="13"/>
      <c r="F336" s="14" t="str">
        <f aca="false">IF(OR(AND($A336="",$B336="",$C336="",$D336="",$E336=""),$I336&lt;&gt;""),"",EDATE($D336,$E336))</f>
        <v/>
      </c>
      <c r="G336" s="6" t="str">
        <f aca="false">IF(AND($A336="",$B336="",$C336="",$D336="",$E336=""),"",IF($I336&lt;&gt;"","Check details",IF($F336&lt;AsOf,"Overdue",IF($F336=AsOf,"Due today",IF($F336&lt;=AsOf+30,"Due in next 30 days","Later")))))</f>
        <v/>
      </c>
      <c r="H336" s="15" t="str">
        <f aca="false">IF($F336="","",$F336-AsOf)</f>
        <v/>
      </c>
      <c r="I336" s="16" t="str">
        <f aca="false">IF(AND($A336="",$B336="",$C336="",$D336="",$E336=""),"",TRIM(IF($A336="","Name missing. ","")&amp;IF($B336="","Site missing. ","")&amp;IF($D336="","Last service missing. ",IF(NOT(ISNUMBER($D336)),"Last service isn't a date. ",IF(OR($D336&lt;18264,$D336&lt;&gt;INT($D336)),"Last service isn't a valid date. ",IF($D336&gt;AsOf,"Last service is after the as-of date. ",""))))&amp;IF($E336="","Interval missing.",IF(NOT(ISNUMBER($E336)),"Interval must be a number.",IF($E336&lt;&gt;INT($E336),"Interval must be whole months.",IF(OR($E336&lt;1,$E336&gt;240),"Interval must be 1-240 months.",""))))))</f>
        <v/>
      </c>
      <c r="J336" s="17" t="str">
        <f aca="false">IF(AND($A336="",$B336="",$C336="",$D336="",$E336=""),"",IF('Due List'!$B$4="Check details",IF($G336="Check details",ROW(),""),IF('Due List'!$B$4="All records",IF($G336="Check details",ROW()/100000,$F336+ROW()/100000),IF(OR($G336="Overdue",$G336="Due today",$G336="Due in next 30 days"),$F336+ROW()/100000,""))))</f>
        <v/>
      </c>
    </row>
    <row r="337" customFormat="false" ht="15" hidden="false" customHeight="false" outlineLevel="0" collapsed="false">
      <c r="A337" s="11"/>
      <c r="B337" s="11"/>
      <c r="C337" s="11"/>
      <c r="D337" s="12"/>
      <c r="E337" s="13"/>
      <c r="F337" s="14" t="str">
        <f aca="false">IF(OR(AND($A337="",$B337="",$C337="",$D337="",$E337=""),$I337&lt;&gt;""),"",EDATE($D337,$E337))</f>
        <v/>
      </c>
      <c r="G337" s="6" t="str">
        <f aca="false">IF(AND($A337="",$B337="",$C337="",$D337="",$E337=""),"",IF($I337&lt;&gt;"","Check details",IF($F337&lt;AsOf,"Overdue",IF($F337=AsOf,"Due today",IF($F337&lt;=AsOf+30,"Due in next 30 days","Later")))))</f>
        <v/>
      </c>
      <c r="H337" s="15" t="str">
        <f aca="false">IF($F337="","",$F337-AsOf)</f>
        <v/>
      </c>
      <c r="I337" s="16" t="str">
        <f aca="false">IF(AND($A337="",$B337="",$C337="",$D337="",$E337=""),"",TRIM(IF($A337="","Name missing. ","")&amp;IF($B337="","Site missing. ","")&amp;IF($D337="","Last service missing. ",IF(NOT(ISNUMBER($D337)),"Last service isn't a date. ",IF(OR($D337&lt;18264,$D337&lt;&gt;INT($D337)),"Last service isn't a valid date. ",IF($D337&gt;AsOf,"Last service is after the as-of date. ",""))))&amp;IF($E337="","Interval missing.",IF(NOT(ISNUMBER($E337)),"Interval must be a number.",IF($E337&lt;&gt;INT($E337),"Interval must be whole months.",IF(OR($E337&lt;1,$E337&gt;240),"Interval must be 1-240 months.",""))))))</f>
        <v/>
      </c>
      <c r="J337" s="17" t="str">
        <f aca="false">IF(AND($A337="",$B337="",$C337="",$D337="",$E337=""),"",IF('Due List'!$B$4="Check details",IF($G337="Check details",ROW(),""),IF('Due List'!$B$4="All records",IF($G337="Check details",ROW()/100000,$F337+ROW()/100000),IF(OR($G337="Overdue",$G337="Due today",$G337="Due in next 30 days"),$F337+ROW()/100000,""))))</f>
        <v/>
      </c>
    </row>
    <row r="338" customFormat="false" ht="15" hidden="false" customHeight="false" outlineLevel="0" collapsed="false">
      <c r="A338" s="11"/>
      <c r="B338" s="11"/>
      <c r="C338" s="11"/>
      <c r="D338" s="12"/>
      <c r="E338" s="13"/>
      <c r="F338" s="14" t="str">
        <f aca="false">IF(OR(AND($A338="",$B338="",$C338="",$D338="",$E338=""),$I338&lt;&gt;""),"",EDATE($D338,$E338))</f>
        <v/>
      </c>
      <c r="G338" s="6" t="str">
        <f aca="false">IF(AND($A338="",$B338="",$C338="",$D338="",$E338=""),"",IF($I338&lt;&gt;"","Check details",IF($F338&lt;AsOf,"Overdue",IF($F338=AsOf,"Due today",IF($F338&lt;=AsOf+30,"Due in next 30 days","Later")))))</f>
        <v/>
      </c>
      <c r="H338" s="15" t="str">
        <f aca="false">IF($F338="","",$F338-AsOf)</f>
        <v/>
      </c>
      <c r="I338" s="16" t="str">
        <f aca="false">IF(AND($A338="",$B338="",$C338="",$D338="",$E338=""),"",TRIM(IF($A338="","Name missing. ","")&amp;IF($B338="","Site missing. ","")&amp;IF($D338="","Last service missing. ",IF(NOT(ISNUMBER($D338)),"Last service isn't a date. ",IF(OR($D338&lt;18264,$D338&lt;&gt;INT($D338)),"Last service isn't a valid date. ",IF($D338&gt;AsOf,"Last service is after the as-of date. ",""))))&amp;IF($E338="","Interval missing.",IF(NOT(ISNUMBER($E338)),"Interval must be a number.",IF($E338&lt;&gt;INT($E338),"Interval must be whole months.",IF(OR($E338&lt;1,$E338&gt;240),"Interval must be 1-240 months.",""))))))</f>
        <v/>
      </c>
      <c r="J338" s="17" t="str">
        <f aca="false">IF(AND($A338="",$B338="",$C338="",$D338="",$E338=""),"",IF('Due List'!$B$4="Check details",IF($G338="Check details",ROW(),""),IF('Due List'!$B$4="All records",IF($G338="Check details",ROW()/100000,$F338+ROW()/100000),IF(OR($G338="Overdue",$G338="Due today",$G338="Due in next 30 days"),$F338+ROW()/100000,""))))</f>
        <v/>
      </c>
    </row>
    <row r="339" customFormat="false" ht="15" hidden="false" customHeight="false" outlineLevel="0" collapsed="false">
      <c r="A339" s="11"/>
      <c r="B339" s="11"/>
      <c r="C339" s="11"/>
      <c r="D339" s="12"/>
      <c r="E339" s="13"/>
      <c r="F339" s="14" t="str">
        <f aca="false">IF(OR(AND($A339="",$B339="",$C339="",$D339="",$E339=""),$I339&lt;&gt;""),"",EDATE($D339,$E339))</f>
        <v/>
      </c>
      <c r="G339" s="6" t="str">
        <f aca="false">IF(AND($A339="",$B339="",$C339="",$D339="",$E339=""),"",IF($I339&lt;&gt;"","Check details",IF($F339&lt;AsOf,"Overdue",IF($F339=AsOf,"Due today",IF($F339&lt;=AsOf+30,"Due in next 30 days","Later")))))</f>
        <v/>
      </c>
      <c r="H339" s="15" t="str">
        <f aca="false">IF($F339="","",$F339-AsOf)</f>
        <v/>
      </c>
      <c r="I339" s="16" t="str">
        <f aca="false">IF(AND($A339="",$B339="",$C339="",$D339="",$E339=""),"",TRIM(IF($A339="","Name missing. ","")&amp;IF($B339="","Site missing. ","")&amp;IF($D339="","Last service missing. ",IF(NOT(ISNUMBER($D339)),"Last service isn't a date. ",IF(OR($D339&lt;18264,$D339&lt;&gt;INT($D339)),"Last service isn't a valid date. ",IF($D339&gt;AsOf,"Last service is after the as-of date. ",""))))&amp;IF($E339="","Interval missing.",IF(NOT(ISNUMBER($E339)),"Interval must be a number.",IF($E339&lt;&gt;INT($E339),"Interval must be whole months.",IF(OR($E339&lt;1,$E339&gt;240),"Interval must be 1-240 months.",""))))))</f>
        <v/>
      </c>
      <c r="J339" s="17" t="str">
        <f aca="false">IF(AND($A339="",$B339="",$C339="",$D339="",$E339=""),"",IF('Due List'!$B$4="Check details",IF($G339="Check details",ROW(),""),IF('Due List'!$B$4="All records",IF($G339="Check details",ROW()/100000,$F339+ROW()/100000),IF(OR($G339="Overdue",$G339="Due today",$G339="Due in next 30 days"),$F339+ROW()/100000,""))))</f>
        <v/>
      </c>
    </row>
    <row r="340" customFormat="false" ht="15" hidden="false" customHeight="false" outlineLevel="0" collapsed="false">
      <c r="A340" s="11"/>
      <c r="B340" s="11"/>
      <c r="C340" s="11"/>
      <c r="D340" s="12"/>
      <c r="E340" s="13"/>
      <c r="F340" s="14" t="str">
        <f aca="false">IF(OR(AND($A340="",$B340="",$C340="",$D340="",$E340=""),$I340&lt;&gt;""),"",EDATE($D340,$E340))</f>
        <v/>
      </c>
      <c r="G340" s="6" t="str">
        <f aca="false">IF(AND($A340="",$B340="",$C340="",$D340="",$E340=""),"",IF($I340&lt;&gt;"","Check details",IF($F340&lt;AsOf,"Overdue",IF($F340=AsOf,"Due today",IF($F340&lt;=AsOf+30,"Due in next 30 days","Later")))))</f>
        <v/>
      </c>
      <c r="H340" s="15" t="str">
        <f aca="false">IF($F340="","",$F340-AsOf)</f>
        <v/>
      </c>
      <c r="I340" s="16" t="str">
        <f aca="false">IF(AND($A340="",$B340="",$C340="",$D340="",$E340=""),"",TRIM(IF($A340="","Name missing. ","")&amp;IF($B340="","Site missing. ","")&amp;IF($D340="","Last service missing. ",IF(NOT(ISNUMBER($D340)),"Last service isn't a date. ",IF(OR($D340&lt;18264,$D340&lt;&gt;INT($D340)),"Last service isn't a valid date. ",IF($D340&gt;AsOf,"Last service is after the as-of date. ",""))))&amp;IF($E340="","Interval missing.",IF(NOT(ISNUMBER($E340)),"Interval must be a number.",IF($E340&lt;&gt;INT($E340),"Interval must be whole months.",IF(OR($E340&lt;1,$E340&gt;240),"Interval must be 1-240 months.",""))))))</f>
        <v/>
      </c>
      <c r="J340" s="17" t="str">
        <f aca="false">IF(AND($A340="",$B340="",$C340="",$D340="",$E340=""),"",IF('Due List'!$B$4="Check details",IF($G340="Check details",ROW(),""),IF('Due List'!$B$4="All records",IF($G340="Check details",ROW()/100000,$F340+ROW()/100000),IF(OR($G340="Overdue",$G340="Due today",$G340="Due in next 30 days"),$F340+ROW()/100000,""))))</f>
        <v/>
      </c>
    </row>
    <row r="341" customFormat="false" ht="15" hidden="false" customHeight="false" outlineLevel="0" collapsed="false">
      <c r="A341" s="11"/>
      <c r="B341" s="11"/>
      <c r="C341" s="11"/>
      <c r="D341" s="12"/>
      <c r="E341" s="13"/>
      <c r="F341" s="14" t="str">
        <f aca="false">IF(OR(AND($A341="",$B341="",$C341="",$D341="",$E341=""),$I341&lt;&gt;""),"",EDATE($D341,$E341))</f>
        <v/>
      </c>
      <c r="G341" s="6" t="str">
        <f aca="false">IF(AND($A341="",$B341="",$C341="",$D341="",$E341=""),"",IF($I341&lt;&gt;"","Check details",IF($F341&lt;AsOf,"Overdue",IF($F341=AsOf,"Due today",IF($F341&lt;=AsOf+30,"Due in next 30 days","Later")))))</f>
        <v/>
      </c>
      <c r="H341" s="15" t="str">
        <f aca="false">IF($F341="","",$F341-AsOf)</f>
        <v/>
      </c>
      <c r="I341" s="16" t="str">
        <f aca="false">IF(AND($A341="",$B341="",$C341="",$D341="",$E341=""),"",TRIM(IF($A341="","Name missing. ","")&amp;IF($B341="","Site missing. ","")&amp;IF($D341="","Last service missing. ",IF(NOT(ISNUMBER($D341)),"Last service isn't a date. ",IF(OR($D341&lt;18264,$D341&lt;&gt;INT($D341)),"Last service isn't a valid date. ",IF($D341&gt;AsOf,"Last service is after the as-of date. ",""))))&amp;IF($E341="","Interval missing.",IF(NOT(ISNUMBER($E341)),"Interval must be a number.",IF($E341&lt;&gt;INT($E341),"Interval must be whole months.",IF(OR($E341&lt;1,$E341&gt;240),"Interval must be 1-240 months.",""))))))</f>
        <v/>
      </c>
      <c r="J341" s="17" t="str">
        <f aca="false">IF(AND($A341="",$B341="",$C341="",$D341="",$E341=""),"",IF('Due List'!$B$4="Check details",IF($G341="Check details",ROW(),""),IF('Due List'!$B$4="All records",IF($G341="Check details",ROW()/100000,$F341+ROW()/100000),IF(OR($G341="Overdue",$G341="Due today",$G341="Due in next 30 days"),$F341+ROW()/100000,""))))</f>
        <v/>
      </c>
    </row>
    <row r="342" customFormat="false" ht="15" hidden="false" customHeight="false" outlineLevel="0" collapsed="false">
      <c r="A342" s="11"/>
      <c r="B342" s="11"/>
      <c r="C342" s="11"/>
      <c r="D342" s="12"/>
      <c r="E342" s="13"/>
      <c r="F342" s="14" t="str">
        <f aca="false">IF(OR(AND($A342="",$B342="",$C342="",$D342="",$E342=""),$I342&lt;&gt;""),"",EDATE($D342,$E342))</f>
        <v/>
      </c>
      <c r="G342" s="6" t="str">
        <f aca="false">IF(AND($A342="",$B342="",$C342="",$D342="",$E342=""),"",IF($I342&lt;&gt;"","Check details",IF($F342&lt;AsOf,"Overdue",IF($F342=AsOf,"Due today",IF($F342&lt;=AsOf+30,"Due in next 30 days","Later")))))</f>
        <v/>
      </c>
      <c r="H342" s="15" t="str">
        <f aca="false">IF($F342="","",$F342-AsOf)</f>
        <v/>
      </c>
      <c r="I342" s="16" t="str">
        <f aca="false">IF(AND($A342="",$B342="",$C342="",$D342="",$E342=""),"",TRIM(IF($A342="","Name missing. ","")&amp;IF($B342="","Site missing. ","")&amp;IF($D342="","Last service missing. ",IF(NOT(ISNUMBER($D342)),"Last service isn't a date. ",IF(OR($D342&lt;18264,$D342&lt;&gt;INT($D342)),"Last service isn't a valid date. ",IF($D342&gt;AsOf,"Last service is after the as-of date. ",""))))&amp;IF($E342="","Interval missing.",IF(NOT(ISNUMBER($E342)),"Interval must be a number.",IF($E342&lt;&gt;INT($E342),"Interval must be whole months.",IF(OR($E342&lt;1,$E342&gt;240),"Interval must be 1-240 months.",""))))))</f>
        <v/>
      </c>
      <c r="J342" s="17" t="str">
        <f aca="false">IF(AND($A342="",$B342="",$C342="",$D342="",$E342=""),"",IF('Due List'!$B$4="Check details",IF($G342="Check details",ROW(),""),IF('Due List'!$B$4="All records",IF($G342="Check details",ROW()/100000,$F342+ROW()/100000),IF(OR($G342="Overdue",$G342="Due today",$G342="Due in next 30 days"),$F342+ROW()/100000,""))))</f>
        <v/>
      </c>
    </row>
    <row r="343" customFormat="false" ht="15" hidden="false" customHeight="false" outlineLevel="0" collapsed="false">
      <c r="A343" s="11"/>
      <c r="B343" s="11"/>
      <c r="C343" s="11"/>
      <c r="D343" s="12"/>
      <c r="E343" s="13"/>
      <c r="F343" s="14" t="str">
        <f aca="false">IF(OR(AND($A343="",$B343="",$C343="",$D343="",$E343=""),$I343&lt;&gt;""),"",EDATE($D343,$E343))</f>
        <v/>
      </c>
      <c r="G343" s="6" t="str">
        <f aca="false">IF(AND($A343="",$B343="",$C343="",$D343="",$E343=""),"",IF($I343&lt;&gt;"","Check details",IF($F343&lt;AsOf,"Overdue",IF($F343=AsOf,"Due today",IF($F343&lt;=AsOf+30,"Due in next 30 days","Later")))))</f>
        <v/>
      </c>
      <c r="H343" s="15" t="str">
        <f aca="false">IF($F343="","",$F343-AsOf)</f>
        <v/>
      </c>
      <c r="I343" s="16" t="str">
        <f aca="false">IF(AND($A343="",$B343="",$C343="",$D343="",$E343=""),"",TRIM(IF($A343="","Name missing. ","")&amp;IF($B343="","Site missing. ","")&amp;IF($D343="","Last service missing. ",IF(NOT(ISNUMBER($D343)),"Last service isn't a date. ",IF(OR($D343&lt;18264,$D343&lt;&gt;INT($D343)),"Last service isn't a valid date. ",IF($D343&gt;AsOf,"Last service is after the as-of date. ",""))))&amp;IF($E343="","Interval missing.",IF(NOT(ISNUMBER($E343)),"Interval must be a number.",IF($E343&lt;&gt;INT($E343),"Interval must be whole months.",IF(OR($E343&lt;1,$E343&gt;240),"Interval must be 1-240 months.",""))))))</f>
        <v/>
      </c>
      <c r="J343" s="17" t="str">
        <f aca="false">IF(AND($A343="",$B343="",$C343="",$D343="",$E343=""),"",IF('Due List'!$B$4="Check details",IF($G343="Check details",ROW(),""),IF('Due List'!$B$4="All records",IF($G343="Check details",ROW()/100000,$F343+ROW()/100000),IF(OR($G343="Overdue",$G343="Due today",$G343="Due in next 30 days"),$F343+ROW()/100000,""))))</f>
        <v/>
      </c>
    </row>
    <row r="344" customFormat="false" ht="15" hidden="false" customHeight="false" outlineLevel="0" collapsed="false">
      <c r="A344" s="11"/>
      <c r="B344" s="11"/>
      <c r="C344" s="11"/>
      <c r="D344" s="12"/>
      <c r="E344" s="13"/>
      <c r="F344" s="14" t="str">
        <f aca="false">IF(OR(AND($A344="",$B344="",$C344="",$D344="",$E344=""),$I344&lt;&gt;""),"",EDATE($D344,$E344))</f>
        <v/>
      </c>
      <c r="G344" s="6" t="str">
        <f aca="false">IF(AND($A344="",$B344="",$C344="",$D344="",$E344=""),"",IF($I344&lt;&gt;"","Check details",IF($F344&lt;AsOf,"Overdue",IF($F344=AsOf,"Due today",IF($F344&lt;=AsOf+30,"Due in next 30 days","Later")))))</f>
        <v/>
      </c>
      <c r="H344" s="15" t="str">
        <f aca="false">IF($F344="","",$F344-AsOf)</f>
        <v/>
      </c>
      <c r="I344" s="16" t="str">
        <f aca="false">IF(AND($A344="",$B344="",$C344="",$D344="",$E344=""),"",TRIM(IF($A344="","Name missing. ","")&amp;IF($B344="","Site missing. ","")&amp;IF($D344="","Last service missing. ",IF(NOT(ISNUMBER($D344)),"Last service isn't a date. ",IF(OR($D344&lt;18264,$D344&lt;&gt;INT($D344)),"Last service isn't a valid date. ",IF($D344&gt;AsOf,"Last service is after the as-of date. ",""))))&amp;IF($E344="","Interval missing.",IF(NOT(ISNUMBER($E344)),"Interval must be a number.",IF($E344&lt;&gt;INT($E344),"Interval must be whole months.",IF(OR($E344&lt;1,$E344&gt;240),"Interval must be 1-240 months.",""))))))</f>
        <v/>
      </c>
      <c r="J344" s="17" t="str">
        <f aca="false">IF(AND($A344="",$B344="",$C344="",$D344="",$E344=""),"",IF('Due List'!$B$4="Check details",IF($G344="Check details",ROW(),""),IF('Due List'!$B$4="All records",IF($G344="Check details",ROW()/100000,$F344+ROW()/100000),IF(OR($G344="Overdue",$G344="Due today",$G344="Due in next 30 days"),$F344+ROW()/100000,""))))</f>
        <v/>
      </c>
    </row>
    <row r="345" customFormat="false" ht="15" hidden="false" customHeight="false" outlineLevel="0" collapsed="false">
      <c r="A345" s="11"/>
      <c r="B345" s="11"/>
      <c r="C345" s="11"/>
      <c r="D345" s="12"/>
      <c r="E345" s="13"/>
      <c r="F345" s="14" t="str">
        <f aca="false">IF(OR(AND($A345="",$B345="",$C345="",$D345="",$E345=""),$I345&lt;&gt;""),"",EDATE($D345,$E345))</f>
        <v/>
      </c>
      <c r="G345" s="6" t="str">
        <f aca="false">IF(AND($A345="",$B345="",$C345="",$D345="",$E345=""),"",IF($I345&lt;&gt;"","Check details",IF($F345&lt;AsOf,"Overdue",IF($F345=AsOf,"Due today",IF($F345&lt;=AsOf+30,"Due in next 30 days","Later")))))</f>
        <v/>
      </c>
      <c r="H345" s="15" t="str">
        <f aca="false">IF($F345="","",$F345-AsOf)</f>
        <v/>
      </c>
      <c r="I345" s="16" t="str">
        <f aca="false">IF(AND($A345="",$B345="",$C345="",$D345="",$E345=""),"",TRIM(IF($A345="","Name missing. ","")&amp;IF($B345="","Site missing. ","")&amp;IF($D345="","Last service missing. ",IF(NOT(ISNUMBER($D345)),"Last service isn't a date. ",IF(OR($D345&lt;18264,$D345&lt;&gt;INT($D345)),"Last service isn't a valid date. ",IF($D345&gt;AsOf,"Last service is after the as-of date. ",""))))&amp;IF($E345="","Interval missing.",IF(NOT(ISNUMBER($E345)),"Interval must be a number.",IF($E345&lt;&gt;INT($E345),"Interval must be whole months.",IF(OR($E345&lt;1,$E345&gt;240),"Interval must be 1-240 months.",""))))))</f>
        <v/>
      </c>
      <c r="J345" s="17" t="str">
        <f aca="false">IF(AND($A345="",$B345="",$C345="",$D345="",$E345=""),"",IF('Due List'!$B$4="Check details",IF($G345="Check details",ROW(),""),IF('Due List'!$B$4="All records",IF($G345="Check details",ROW()/100000,$F345+ROW()/100000),IF(OR($G345="Overdue",$G345="Due today",$G345="Due in next 30 days"),$F345+ROW()/100000,""))))</f>
        <v/>
      </c>
    </row>
    <row r="346" customFormat="false" ht="15" hidden="false" customHeight="false" outlineLevel="0" collapsed="false">
      <c r="A346" s="11"/>
      <c r="B346" s="11"/>
      <c r="C346" s="11"/>
      <c r="D346" s="12"/>
      <c r="E346" s="13"/>
      <c r="F346" s="14" t="str">
        <f aca="false">IF(OR(AND($A346="",$B346="",$C346="",$D346="",$E346=""),$I346&lt;&gt;""),"",EDATE($D346,$E346))</f>
        <v/>
      </c>
      <c r="G346" s="6" t="str">
        <f aca="false">IF(AND($A346="",$B346="",$C346="",$D346="",$E346=""),"",IF($I346&lt;&gt;"","Check details",IF($F346&lt;AsOf,"Overdue",IF($F346=AsOf,"Due today",IF($F346&lt;=AsOf+30,"Due in next 30 days","Later")))))</f>
        <v/>
      </c>
      <c r="H346" s="15" t="str">
        <f aca="false">IF($F346="","",$F346-AsOf)</f>
        <v/>
      </c>
      <c r="I346" s="16" t="str">
        <f aca="false">IF(AND($A346="",$B346="",$C346="",$D346="",$E346=""),"",TRIM(IF($A346="","Name missing. ","")&amp;IF($B346="","Site missing. ","")&amp;IF($D346="","Last service missing. ",IF(NOT(ISNUMBER($D346)),"Last service isn't a date. ",IF(OR($D346&lt;18264,$D346&lt;&gt;INT($D346)),"Last service isn't a valid date. ",IF($D346&gt;AsOf,"Last service is after the as-of date. ",""))))&amp;IF($E346="","Interval missing.",IF(NOT(ISNUMBER($E346)),"Interval must be a number.",IF($E346&lt;&gt;INT($E346),"Interval must be whole months.",IF(OR($E346&lt;1,$E346&gt;240),"Interval must be 1-240 months.",""))))))</f>
        <v/>
      </c>
      <c r="J346" s="17" t="str">
        <f aca="false">IF(AND($A346="",$B346="",$C346="",$D346="",$E346=""),"",IF('Due List'!$B$4="Check details",IF($G346="Check details",ROW(),""),IF('Due List'!$B$4="All records",IF($G346="Check details",ROW()/100000,$F346+ROW()/100000),IF(OR($G346="Overdue",$G346="Due today",$G346="Due in next 30 days"),$F346+ROW()/100000,""))))</f>
        <v/>
      </c>
    </row>
    <row r="347" customFormat="false" ht="15" hidden="false" customHeight="false" outlineLevel="0" collapsed="false">
      <c r="A347" s="11"/>
      <c r="B347" s="11"/>
      <c r="C347" s="11"/>
      <c r="D347" s="12"/>
      <c r="E347" s="13"/>
      <c r="F347" s="14" t="str">
        <f aca="false">IF(OR(AND($A347="",$B347="",$C347="",$D347="",$E347=""),$I347&lt;&gt;""),"",EDATE($D347,$E347))</f>
        <v/>
      </c>
      <c r="G347" s="6" t="str">
        <f aca="false">IF(AND($A347="",$B347="",$C347="",$D347="",$E347=""),"",IF($I347&lt;&gt;"","Check details",IF($F347&lt;AsOf,"Overdue",IF($F347=AsOf,"Due today",IF($F347&lt;=AsOf+30,"Due in next 30 days","Later")))))</f>
        <v/>
      </c>
      <c r="H347" s="15" t="str">
        <f aca="false">IF($F347="","",$F347-AsOf)</f>
        <v/>
      </c>
      <c r="I347" s="16" t="str">
        <f aca="false">IF(AND($A347="",$B347="",$C347="",$D347="",$E347=""),"",TRIM(IF($A347="","Name missing. ","")&amp;IF($B347="","Site missing. ","")&amp;IF($D347="","Last service missing. ",IF(NOT(ISNUMBER($D347)),"Last service isn't a date. ",IF(OR($D347&lt;18264,$D347&lt;&gt;INT($D347)),"Last service isn't a valid date. ",IF($D347&gt;AsOf,"Last service is after the as-of date. ",""))))&amp;IF($E347="","Interval missing.",IF(NOT(ISNUMBER($E347)),"Interval must be a number.",IF($E347&lt;&gt;INT($E347),"Interval must be whole months.",IF(OR($E347&lt;1,$E347&gt;240),"Interval must be 1-240 months.",""))))))</f>
        <v/>
      </c>
      <c r="J347" s="17" t="str">
        <f aca="false">IF(AND($A347="",$B347="",$C347="",$D347="",$E347=""),"",IF('Due List'!$B$4="Check details",IF($G347="Check details",ROW(),""),IF('Due List'!$B$4="All records",IF($G347="Check details",ROW()/100000,$F347+ROW()/100000),IF(OR($G347="Overdue",$G347="Due today",$G347="Due in next 30 days"),$F347+ROW()/100000,""))))</f>
        <v/>
      </c>
    </row>
    <row r="348" customFormat="false" ht="15" hidden="false" customHeight="false" outlineLevel="0" collapsed="false">
      <c r="A348" s="11"/>
      <c r="B348" s="11"/>
      <c r="C348" s="11"/>
      <c r="D348" s="12"/>
      <c r="E348" s="13"/>
      <c r="F348" s="14" t="str">
        <f aca="false">IF(OR(AND($A348="",$B348="",$C348="",$D348="",$E348=""),$I348&lt;&gt;""),"",EDATE($D348,$E348))</f>
        <v/>
      </c>
      <c r="G348" s="6" t="str">
        <f aca="false">IF(AND($A348="",$B348="",$C348="",$D348="",$E348=""),"",IF($I348&lt;&gt;"","Check details",IF($F348&lt;AsOf,"Overdue",IF($F348=AsOf,"Due today",IF($F348&lt;=AsOf+30,"Due in next 30 days","Later")))))</f>
        <v/>
      </c>
      <c r="H348" s="15" t="str">
        <f aca="false">IF($F348="","",$F348-AsOf)</f>
        <v/>
      </c>
      <c r="I348" s="16" t="str">
        <f aca="false">IF(AND($A348="",$B348="",$C348="",$D348="",$E348=""),"",TRIM(IF($A348="","Name missing. ","")&amp;IF($B348="","Site missing. ","")&amp;IF($D348="","Last service missing. ",IF(NOT(ISNUMBER($D348)),"Last service isn't a date. ",IF(OR($D348&lt;18264,$D348&lt;&gt;INT($D348)),"Last service isn't a valid date. ",IF($D348&gt;AsOf,"Last service is after the as-of date. ",""))))&amp;IF($E348="","Interval missing.",IF(NOT(ISNUMBER($E348)),"Interval must be a number.",IF($E348&lt;&gt;INT($E348),"Interval must be whole months.",IF(OR($E348&lt;1,$E348&gt;240),"Interval must be 1-240 months.",""))))))</f>
        <v/>
      </c>
      <c r="J348" s="17" t="str">
        <f aca="false">IF(AND($A348="",$B348="",$C348="",$D348="",$E348=""),"",IF('Due List'!$B$4="Check details",IF($G348="Check details",ROW(),""),IF('Due List'!$B$4="All records",IF($G348="Check details",ROW()/100000,$F348+ROW()/100000),IF(OR($G348="Overdue",$G348="Due today",$G348="Due in next 30 days"),$F348+ROW()/100000,""))))</f>
        <v/>
      </c>
    </row>
    <row r="349" customFormat="false" ht="15" hidden="false" customHeight="false" outlineLevel="0" collapsed="false">
      <c r="A349" s="11"/>
      <c r="B349" s="11"/>
      <c r="C349" s="11"/>
      <c r="D349" s="12"/>
      <c r="E349" s="13"/>
      <c r="F349" s="14" t="str">
        <f aca="false">IF(OR(AND($A349="",$B349="",$C349="",$D349="",$E349=""),$I349&lt;&gt;""),"",EDATE($D349,$E349))</f>
        <v/>
      </c>
      <c r="G349" s="6" t="str">
        <f aca="false">IF(AND($A349="",$B349="",$C349="",$D349="",$E349=""),"",IF($I349&lt;&gt;"","Check details",IF($F349&lt;AsOf,"Overdue",IF($F349=AsOf,"Due today",IF($F349&lt;=AsOf+30,"Due in next 30 days","Later")))))</f>
        <v/>
      </c>
      <c r="H349" s="15" t="str">
        <f aca="false">IF($F349="","",$F349-AsOf)</f>
        <v/>
      </c>
      <c r="I349" s="16" t="str">
        <f aca="false">IF(AND($A349="",$B349="",$C349="",$D349="",$E349=""),"",TRIM(IF($A349="","Name missing. ","")&amp;IF($B349="","Site missing. ","")&amp;IF($D349="","Last service missing. ",IF(NOT(ISNUMBER($D349)),"Last service isn't a date. ",IF(OR($D349&lt;18264,$D349&lt;&gt;INT($D349)),"Last service isn't a valid date. ",IF($D349&gt;AsOf,"Last service is after the as-of date. ",""))))&amp;IF($E349="","Interval missing.",IF(NOT(ISNUMBER($E349)),"Interval must be a number.",IF($E349&lt;&gt;INT($E349),"Interval must be whole months.",IF(OR($E349&lt;1,$E349&gt;240),"Interval must be 1-240 months.",""))))))</f>
        <v/>
      </c>
      <c r="J349" s="17" t="str">
        <f aca="false">IF(AND($A349="",$B349="",$C349="",$D349="",$E349=""),"",IF('Due List'!$B$4="Check details",IF($G349="Check details",ROW(),""),IF('Due List'!$B$4="All records",IF($G349="Check details",ROW()/100000,$F349+ROW()/100000),IF(OR($G349="Overdue",$G349="Due today",$G349="Due in next 30 days"),$F349+ROW()/100000,""))))</f>
        <v/>
      </c>
    </row>
    <row r="350" customFormat="false" ht="15" hidden="false" customHeight="false" outlineLevel="0" collapsed="false">
      <c r="A350" s="11"/>
      <c r="B350" s="11"/>
      <c r="C350" s="11"/>
      <c r="D350" s="12"/>
      <c r="E350" s="13"/>
      <c r="F350" s="14" t="str">
        <f aca="false">IF(OR(AND($A350="",$B350="",$C350="",$D350="",$E350=""),$I350&lt;&gt;""),"",EDATE($D350,$E350))</f>
        <v/>
      </c>
      <c r="G350" s="6" t="str">
        <f aca="false">IF(AND($A350="",$B350="",$C350="",$D350="",$E350=""),"",IF($I350&lt;&gt;"","Check details",IF($F350&lt;AsOf,"Overdue",IF($F350=AsOf,"Due today",IF($F350&lt;=AsOf+30,"Due in next 30 days","Later")))))</f>
        <v/>
      </c>
      <c r="H350" s="15" t="str">
        <f aca="false">IF($F350="","",$F350-AsOf)</f>
        <v/>
      </c>
      <c r="I350" s="16" t="str">
        <f aca="false">IF(AND($A350="",$B350="",$C350="",$D350="",$E350=""),"",TRIM(IF($A350="","Name missing. ","")&amp;IF($B350="","Site missing. ","")&amp;IF($D350="","Last service missing. ",IF(NOT(ISNUMBER($D350)),"Last service isn't a date. ",IF(OR($D350&lt;18264,$D350&lt;&gt;INT($D350)),"Last service isn't a valid date. ",IF($D350&gt;AsOf,"Last service is after the as-of date. ",""))))&amp;IF($E350="","Interval missing.",IF(NOT(ISNUMBER($E350)),"Interval must be a number.",IF($E350&lt;&gt;INT($E350),"Interval must be whole months.",IF(OR($E350&lt;1,$E350&gt;240),"Interval must be 1-240 months.",""))))))</f>
        <v/>
      </c>
      <c r="J350" s="17" t="str">
        <f aca="false">IF(AND($A350="",$B350="",$C350="",$D350="",$E350=""),"",IF('Due List'!$B$4="Check details",IF($G350="Check details",ROW(),""),IF('Due List'!$B$4="All records",IF($G350="Check details",ROW()/100000,$F350+ROW()/100000),IF(OR($G350="Overdue",$G350="Due today",$G350="Due in next 30 days"),$F350+ROW()/100000,""))))</f>
        <v/>
      </c>
    </row>
    <row r="351" customFormat="false" ht="15" hidden="false" customHeight="false" outlineLevel="0" collapsed="false">
      <c r="A351" s="11"/>
      <c r="B351" s="11"/>
      <c r="C351" s="11"/>
      <c r="D351" s="12"/>
      <c r="E351" s="13"/>
      <c r="F351" s="14" t="str">
        <f aca="false">IF(OR(AND($A351="",$B351="",$C351="",$D351="",$E351=""),$I351&lt;&gt;""),"",EDATE($D351,$E351))</f>
        <v/>
      </c>
      <c r="G351" s="6" t="str">
        <f aca="false">IF(AND($A351="",$B351="",$C351="",$D351="",$E351=""),"",IF($I351&lt;&gt;"","Check details",IF($F351&lt;AsOf,"Overdue",IF($F351=AsOf,"Due today",IF($F351&lt;=AsOf+30,"Due in next 30 days","Later")))))</f>
        <v/>
      </c>
      <c r="H351" s="15" t="str">
        <f aca="false">IF($F351="","",$F351-AsOf)</f>
        <v/>
      </c>
      <c r="I351" s="16" t="str">
        <f aca="false">IF(AND($A351="",$B351="",$C351="",$D351="",$E351=""),"",TRIM(IF($A351="","Name missing. ","")&amp;IF($B351="","Site missing. ","")&amp;IF($D351="","Last service missing. ",IF(NOT(ISNUMBER($D351)),"Last service isn't a date. ",IF(OR($D351&lt;18264,$D351&lt;&gt;INT($D351)),"Last service isn't a valid date. ",IF($D351&gt;AsOf,"Last service is after the as-of date. ",""))))&amp;IF($E351="","Interval missing.",IF(NOT(ISNUMBER($E351)),"Interval must be a number.",IF($E351&lt;&gt;INT($E351),"Interval must be whole months.",IF(OR($E351&lt;1,$E351&gt;240),"Interval must be 1-240 months.",""))))))</f>
        <v/>
      </c>
      <c r="J351" s="17" t="str">
        <f aca="false">IF(AND($A351="",$B351="",$C351="",$D351="",$E351=""),"",IF('Due List'!$B$4="Check details",IF($G351="Check details",ROW(),""),IF('Due List'!$B$4="All records",IF($G351="Check details",ROW()/100000,$F351+ROW()/100000),IF(OR($G351="Overdue",$G351="Due today",$G351="Due in next 30 days"),$F351+ROW()/100000,""))))</f>
        <v/>
      </c>
    </row>
    <row r="352" customFormat="false" ht="15" hidden="false" customHeight="false" outlineLevel="0" collapsed="false">
      <c r="A352" s="11"/>
      <c r="B352" s="11"/>
      <c r="C352" s="11"/>
      <c r="D352" s="12"/>
      <c r="E352" s="13"/>
      <c r="F352" s="14" t="str">
        <f aca="false">IF(OR(AND($A352="",$B352="",$C352="",$D352="",$E352=""),$I352&lt;&gt;""),"",EDATE($D352,$E352))</f>
        <v/>
      </c>
      <c r="G352" s="6" t="str">
        <f aca="false">IF(AND($A352="",$B352="",$C352="",$D352="",$E352=""),"",IF($I352&lt;&gt;"","Check details",IF($F352&lt;AsOf,"Overdue",IF($F352=AsOf,"Due today",IF($F352&lt;=AsOf+30,"Due in next 30 days","Later")))))</f>
        <v/>
      </c>
      <c r="H352" s="15" t="str">
        <f aca="false">IF($F352="","",$F352-AsOf)</f>
        <v/>
      </c>
      <c r="I352" s="16" t="str">
        <f aca="false">IF(AND($A352="",$B352="",$C352="",$D352="",$E352=""),"",TRIM(IF($A352="","Name missing. ","")&amp;IF($B352="","Site missing. ","")&amp;IF($D352="","Last service missing. ",IF(NOT(ISNUMBER($D352)),"Last service isn't a date. ",IF(OR($D352&lt;18264,$D352&lt;&gt;INT($D352)),"Last service isn't a valid date. ",IF($D352&gt;AsOf,"Last service is after the as-of date. ",""))))&amp;IF($E352="","Interval missing.",IF(NOT(ISNUMBER($E352)),"Interval must be a number.",IF($E352&lt;&gt;INT($E352),"Interval must be whole months.",IF(OR($E352&lt;1,$E352&gt;240),"Interval must be 1-240 months.",""))))))</f>
        <v/>
      </c>
      <c r="J352" s="17" t="str">
        <f aca="false">IF(AND($A352="",$B352="",$C352="",$D352="",$E352=""),"",IF('Due List'!$B$4="Check details",IF($G352="Check details",ROW(),""),IF('Due List'!$B$4="All records",IF($G352="Check details",ROW()/100000,$F352+ROW()/100000),IF(OR($G352="Overdue",$G352="Due today",$G352="Due in next 30 days"),$F352+ROW()/100000,""))))</f>
        <v/>
      </c>
    </row>
    <row r="353" customFormat="false" ht="15" hidden="false" customHeight="false" outlineLevel="0" collapsed="false">
      <c r="A353" s="11"/>
      <c r="B353" s="11"/>
      <c r="C353" s="11"/>
      <c r="D353" s="12"/>
      <c r="E353" s="13"/>
      <c r="F353" s="14" t="str">
        <f aca="false">IF(OR(AND($A353="",$B353="",$C353="",$D353="",$E353=""),$I353&lt;&gt;""),"",EDATE($D353,$E353))</f>
        <v/>
      </c>
      <c r="G353" s="6" t="str">
        <f aca="false">IF(AND($A353="",$B353="",$C353="",$D353="",$E353=""),"",IF($I353&lt;&gt;"","Check details",IF($F353&lt;AsOf,"Overdue",IF($F353=AsOf,"Due today",IF($F353&lt;=AsOf+30,"Due in next 30 days","Later")))))</f>
        <v/>
      </c>
      <c r="H353" s="15" t="str">
        <f aca="false">IF($F353="","",$F353-AsOf)</f>
        <v/>
      </c>
      <c r="I353" s="16" t="str">
        <f aca="false">IF(AND($A353="",$B353="",$C353="",$D353="",$E353=""),"",TRIM(IF($A353="","Name missing. ","")&amp;IF($B353="","Site missing. ","")&amp;IF($D353="","Last service missing. ",IF(NOT(ISNUMBER($D353)),"Last service isn't a date. ",IF(OR($D353&lt;18264,$D353&lt;&gt;INT($D353)),"Last service isn't a valid date. ",IF($D353&gt;AsOf,"Last service is after the as-of date. ",""))))&amp;IF($E353="","Interval missing.",IF(NOT(ISNUMBER($E353)),"Interval must be a number.",IF($E353&lt;&gt;INT($E353),"Interval must be whole months.",IF(OR($E353&lt;1,$E353&gt;240),"Interval must be 1-240 months.",""))))))</f>
        <v/>
      </c>
      <c r="J353" s="17" t="str">
        <f aca="false">IF(AND($A353="",$B353="",$C353="",$D353="",$E353=""),"",IF('Due List'!$B$4="Check details",IF($G353="Check details",ROW(),""),IF('Due List'!$B$4="All records",IF($G353="Check details",ROW()/100000,$F353+ROW()/100000),IF(OR($G353="Overdue",$G353="Due today",$G353="Due in next 30 days"),$F353+ROW()/100000,""))))</f>
        <v/>
      </c>
    </row>
    <row r="354" customFormat="false" ht="15" hidden="false" customHeight="false" outlineLevel="0" collapsed="false">
      <c r="A354" s="11"/>
      <c r="B354" s="11"/>
      <c r="C354" s="11"/>
      <c r="D354" s="12"/>
      <c r="E354" s="13"/>
      <c r="F354" s="14" t="str">
        <f aca="false">IF(OR(AND($A354="",$B354="",$C354="",$D354="",$E354=""),$I354&lt;&gt;""),"",EDATE($D354,$E354))</f>
        <v/>
      </c>
      <c r="G354" s="6" t="str">
        <f aca="false">IF(AND($A354="",$B354="",$C354="",$D354="",$E354=""),"",IF($I354&lt;&gt;"","Check details",IF($F354&lt;AsOf,"Overdue",IF($F354=AsOf,"Due today",IF($F354&lt;=AsOf+30,"Due in next 30 days","Later")))))</f>
        <v/>
      </c>
      <c r="H354" s="15" t="str">
        <f aca="false">IF($F354="","",$F354-AsOf)</f>
        <v/>
      </c>
      <c r="I354" s="16" t="str">
        <f aca="false">IF(AND($A354="",$B354="",$C354="",$D354="",$E354=""),"",TRIM(IF($A354="","Name missing. ","")&amp;IF($B354="","Site missing. ","")&amp;IF($D354="","Last service missing. ",IF(NOT(ISNUMBER($D354)),"Last service isn't a date. ",IF(OR($D354&lt;18264,$D354&lt;&gt;INT($D354)),"Last service isn't a valid date. ",IF($D354&gt;AsOf,"Last service is after the as-of date. ",""))))&amp;IF($E354="","Interval missing.",IF(NOT(ISNUMBER($E354)),"Interval must be a number.",IF($E354&lt;&gt;INT($E354),"Interval must be whole months.",IF(OR($E354&lt;1,$E354&gt;240),"Interval must be 1-240 months.",""))))))</f>
        <v/>
      </c>
      <c r="J354" s="17" t="str">
        <f aca="false">IF(AND($A354="",$B354="",$C354="",$D354="",$E354=""),"",IF('Due List'!$B$4="Check details",IF($G354="Check details",ROW(),""),IF('Due List'!$B$4="All records",IF($G354="Check details",ROW()/100000,$F354+ROW()/100000),IF(OR($G354="Overdue",$G354="Due today",$G354="Due in next 30 days"),$F354+ROW()/100000,""))))</f>
        <v/>
      </c>
    </row>
    <row r="355" customFormat="false" ht="15" hidden="false" customHeight="false" outlineLevel="0" collapsed="false">
      <c r="A355" s="11"/>
      <c r="B355" s="11"/>
      <c r="C355" s="11"/>
      <c r="D355" s="12"/>
      <c r="E355" s="13"/>
      <c r="F355" s="14" t="str">
        <f aca="false">IF(OR(AND($A355="",$B355="",$C355="",$D355="",$E355=""),$I355&lt;&gt;""),"",EDATE($D355,$E355))</f>
        <v/>
      </c>
      <c r="G355" s="6" t="str">
        <f aca="false">IF(AND($A355="",$B355="",$C355="",$D355="",$E355=""),"",IF($I355&lt;&gt;"","Check details",IF($F355&lt;AsOf,"Overdue",IF($F355=AsOf,"Due today",IF($F355&lt;=AsOf+30,"Due in next 30 days","Later")))))</f>
        <v/>
      </c>
      <c r="H355" s="15" t="str">
        <f aca="false">IF($F355="","",$F355-AsOf)</f>
        <v/>
      </c>
      <c r="I355" s="16" t="str">
        <f aca="false">IF(AND($A355="",$B355="",$C355="",$D355="",$E355=""),"",TRIM(IF($A355="","Name missing. ","")&amp;IF($B355="","Site missing. ","")&amp;IF($D355="","Last service missing. ",IF(NOT(ISNUMBER($D355)),"Last service isn't a date. ",IF(OR($D355&lt;18264,$D355&lt;&gt;INT($D355)),"Last service isn't a valid date. ",IF($D355&gt;AsOf,"Last service is after the as-of date. ",""))))&amp;IF($E355="","Interval missing.",IF(NOT(ISNUMBER($E355)),"Interval must be a number.",IF($E355&lt;&gt;INT($E355),"Interval must be whole months.",IF(OR($E355&lt;1,$E355&gt;240),"Interval must be 1-240 months.",""))))))</f>
        <v/>
      </c>
      <c r="J355" s="17" t="str">
        <f aca="false">IF(AND($A355="",$B355="",$C355="",$D355="",$E355=""),"",IF('Due List'!$B$4="Check details",IF($G355="Check details",ROW(),""),IF('Due List'!$B$4="All records",IF($G355="Check details",ROW()/100000,$F355+ROW()/100000),IF(OR($G355="Overdue",$G355="Due today",$G355="Due in next 30 days"),$F355+ROW()/100000,""))))</f>
        <v/>
      </c>
    </row>
    <row r="356" customFormat="false" ht="15" hidden="false" customHeight="false" outlineLevel="0" collapsed="false">
      <c r="A356" s="11"/>
      <c r="B356" s="11"/>
      <c r="C356" s="11"/>
      <c r="D356" s="12"/>
      <c r="E356" s="13"/>
      <c r="F356" s="14" t="str">
        <f aca="false">IF(OR(AND($A356="",$B356="",$C356="",$D356="",$E356=""),$I356&lt;&gt;""),"",EDATE($D356,$E356))</f>
        <v/>
      </c>
      <c r="G356" s="6" t="str">
        <f aca="false">IF(AND($A356="",$B356="",$C356="",$D356="",$E356=""),"",IF($I356&lt;&gt;"","Check details",IF($F356&lt;AsOf,"Overdue",IF($F356=AsOf,"Due today",IF($F356&lt;=AsOf+30,"Due in next 30 days","Later")))))</f>
        <v/>
      </c>
      <c r="H356" s="15" t="str">
        <f aca="false">IF($F356="","",$F356-AsOf)</f>
        <v/>
      </c>
      <c r="I356" s="16" t="str">
        <f aca="false">IF(AND($A356="",$B356="",$C356="",$D356="",$E356=""),"",TRIM(IF($A356="","Name missing. ","")&amp;IF($B356="","Site missing. ","")&amp;IF($D356="","Last service missing. ",IF(NOT(ISNUMBER($D356)),"Last service isn't a date. ",IF(OR($D356&lt;18264,$D356&lt;&gt;INT($D356)),"Last service isn't a valid date. ",IF($D356&gt;AsOf,"Last service is after the as-of date. ",""))))&amp;IF($E356="","Interval missing.",IF(NOT(ISNUMBER($E356)),"Interval must be a number.",IF($E356&lt;&gt;INT($E356),"Interval must be whole months.",IF(OR($E356&lt;1,$E356&gt;240),"Interval must be 1-240 months.",""))))))</f>
        <v/>
      </c>
      <c r="J356" s="17" t="str">
        <f aca="false">IF(AND($A356="",$B356="",$C356="",$D356="",$E356=""),"",IF('Due List'!$B$4="Check details",IF($G356="Check details",ROW(),""),IF('Due List'!$B$4="All records",IF($G356="Check details",ROW()/100000,$F356+ROW()/100000),IF(OR($G356="Overdue",$G356="Due today",$G356="Due in next 30 days"),$F356+ROW()/100000,""))))</f>
        <v/>
      </c>
    </row>
    <row r="357" customFormat="false" ht="15" hidden="false" customHeight="false" outlineLevel="0" collapsed="false">
      <c r="A357" s="11"/>
      <c r="B357" s="11"/>
      <c r="C357" s="11"/>
      <c r="D357" s="12"/>
      <c r="E357" s="13"/>
      <c r="F357" s="14" t="str">
        <f aca="false">IF(OR(AND($A357="",$B357="",$C357="",$D357="",$E357=""),$I357&lt;&gt;""),"",EDATE($D357,$E357))</f>
        <v/>
      </c>
      <c r="G357" s="6" t="str">
        <f aca="false">IF(AND($A357="",$B357="",$C357="",$D357="",$E357=""),"",IF($I357&lt;&gt;"","Check details",IF($F357&lt;AsOf,"Overdue",IF($F357=AsOf,"Due today",IF($F357&lt;=AsOf+30,"Due in next 30 days","Later")))))</f>
        <v/>
      </c>
      <c r="H357" s="15" t="str">
        <f aca="false">IF($F357="","",$F357-AsOf)</f>
        <v/>
      </c>
      <c r="I357" s="16" t="str">
        <f aca="false">IF(AND($A357="",$B357="",$C357="",$D357="",$E357=""),"",TRIM(IF($A357="","Name missing. ","")&amp;IF($B357="","Site missing. ","")&amp;IF($D357="","Last service missing. ",IF(NOT(ISNUMBER($D357)),"Last service isn't a date. ",IF(OR($D357&lt;18264,$D357&lt;&gt;INT($D357)),"Last service isn't a valid date. ",IF($D357&gt;AsOf,"Last service is after the as-of date. ",""))))&amp;IF($E357="","Interval missing.",IF(NOT(ISNUMBER($E357)),"Interval must be a number.",IF($E357&lt;&gt;INT($E357),"Interval must be whole months.",IF(OR($E357&lt;1,$E357&gt;240),"Interval must be 1-240 months.",""))))))</f>
        <v/>
      </c>
      <c r="J357" s="17" t="str">
        <f aca="false">IF(AND($A357="",$B357="",$C357="",$D357="",$E357=""),"",IF('Due List'!$B$4="Check details",IF($G357="Check details",ROW(),""),IF('Due List'!$B$4="All records",IF($G357="Check details",ROW()/100000,$F357+ROW()/100000),IF(OR($G357="Overdue",$G357="Due today",$G357="Due in next 30 days"),$F357+ROW()/100000,""))))</f>
        <v/>
      </c>
    </row>
    <row r="358" customFormat="false" ht="15" hidden="false" customHeight="false" outlineLevel="0" collapsed="false">
      <c r="A358" s="11"/>
      <c r="B358" s="11"/>
      <c r="C358" s="11"/>
      <c r="D358" s="12"/>
      <c r="E358" s="13"/>
      <c r="F358" s="14" t="str">
        <f aca="false">IF(OR(AND($A358="",$B358="",$C358="",$D358="",$E358=""),$I358&lt;&gt;""),"",EDATE($D358,$E358))</f>
        <v/>
      </c>
      <c r="G358" s="6" t="str">
        <f aca="false">IF(AND($A358="",$B358="",$C358="",$D358="",$E358=""),"",IF($I358&lt;&gt;"","Check details",IF($F358&lt;AsOf,"Overdue",IF($F358=AsOf,"Due today",IF($F358&lt;=AsOf+30,"Due in next 30 days","Later")))))</f>
        <v/>
      </c>
      <c r="H358" s="15" t="str">
        <f aca="false">IF($F358="","",$F358-AsOf)</f>
        <v/>
      </c>
      <c r="I358" s="16" t="str">
        <f aca="false">IF(AND($A358="",$B358="",$C358="",$D358="",$E358=""),"",TRIM(IF($A358="","Name missing. ","")&amp;IF($B358="","Site missing. ","")&amp;IF($D358="","Last service missing. ",IF(NOT(ISNUMBER($D358)),"Last service isn't a date. ",IF(OR($D358&lt;18264,$D358&lt;&gt;INT($D358)),"Last service isn't a valid date. ",IF($D358&gt;AsOf,"Last service is after the as-of date. ",""))))&amp;IF($E358="","Interval missing.",IF(NOT(ISNUMBER($E358)),"Interval must be a number.",IF($E358&lt;&gt;INT($E358),"Interval must be whole months.",IF(OR($E358&lt;1,$E358&gt;240),"Interval must be 1-240 months.",""))))))</f>
        <v/>
      </c>
      <c r="J358" s="17" t="str">
        <f aca="false">IF(AND($A358="",$B358="",$C358="",$D358="",$E358=""),"",IF('Due List'!$B$4="Check details",IF($G358="Check details",ROW(),""),IF('Due List'!$B$4="All records",IF($G358="Check details",ROW()/100000,$F358+ROW()/100000),IF(OR($G358="Overdue",$G358="Due today",$G358="Due in next 30 days"),$F358+ROW()/100000,""))))</f>
        <v/>
      </c>
    </row>
    <row r="359" customFormat="false" ht="15" hidden="false" customHeight="false" outlineLevel="0" collapsed="false">
      <c r="A359" s="11"/>
      <c r="B359" s="11"/>
      <c r="C359" s="11"/>
      <c r="D359" s="12"/>
      <c r="E359" s="13"/>
      <c r="F359" s="14" t="str">
        <f aca="false">IF(OR(AND($A359="",$B359="",$C359="",$D359="",$E359=""),$I359&lt;&gt;""),"",EDATE($D359,$E359))</f>
        <v/>
      </c>
      <c r="G359" s="6" t="str">
        <f aca="false">IF(AND($A359="",$B359="",$C359="",$D359="",$E359=""),"",IF($I359&lt;&gt;"","Check details",IF($F359&lt;AsOf,"Overdue",IF($F359=AsOf,"Due today",IF($F359&lt;=AsOf+30,"Due in next 30 days","Later")))))</f>
        <v/>
      </c>
      <c r="H359" s="15" t="str">
        <f aca="false">IF($F359="","",$F359-AsOf)</f>
        <v/>
      </c>
      <c r="I359" s="16" t="str">
        <f aca="false">IF(AND($A359="",$B359="",$C359="",$D359="",$E359=""),"",TRIM(IF($A359="","Name missing. ","")&amp;IF($B359="","Site missing. ","")&amp;IF($D359="","Last service missing. ",IF(NOT(ISNUMBER($D359)),"Last service isn't a date. ",IF(OR($D359&lt;18264,$D359&lt;&gt;INT($D359)),"Last service isn't a valid date. ",IF($D359&gt;AsOf,"Last service is after the as-of date. ",""))))&amp;IF($E359="","Interval missing.",IF(NOT(ISNUMBER($E359)),"Interval must be a number.",IF($E359&lt;&gt;INT($E359),"Interval must be whole months.",IF(OR($E359&lt;1,$E359&gt;240),"Interval must be 1-240 months.",""))))))</f>
        <v/>
      </c>
      <c r="J359" s="17" t="str">
        <f aca="false">IF(AND($A359="",$B359="",$C359="",$D359="",$E359=""),"",IF('Due List'!$B$4="Check details",IF($G359="Check details",ROW(),""),IF('Due List'!$B$4="All records",IF($G359="Check details",ROW()/100000,$F359+ROW()/100000),IF(OR($G359="Overdue",$G359="Due today",$G359="Due in next 30 days"),$F359+ROW()/100000,""))))</f>
        <v/>
      </c>
    </row>
    <row r="360" customFormat="false" ht="15" hidden="false" customHeight="false" outlineLevel="0" collapsed="false">
      <c r="A360" s="11"/>
      <c r="B360" s="11"/>
      <c r="C360" s="11"/>
      <c r="D360" s="12"/>
      <c r="E360" s="13"/>
      <c r="F360" s="14" t="str">
        <f aca="false">IF(OR(AND($A360="",$B360="",$C360="",$D360="",$E360=""),$I360&lt;&gt;""),"",EDATE($D360,$E360))</f>
        <v/>
      </c>
      <c r="G360" s="6" t="str">
        <f aca="false">IF(AND($A360="",$B360="",$C360="",$D360="",$E360=""),"",IF($I360&lt;&gt;"","Check details",IF($F360&lt;AsOf,"Overdue",IF($F360=AsOf,"Due today",IF($F360&lt;=AsOf+30,"Due in next 30 days","Later")))))</f>
        <v/>
      </c>
      <c r="H360" s="15" t="str">
        <f aca="false">IF($F360="","",$F360-AsOf)</f>
        <v/>
      </c>
      <c r="I360" s="16" t="str">
        <f aca="false">IF(AND($A360="",$B360="",$C360="",$D360="",$E360=""),"",TRIM(IF($A360="","Name missing. ","")&amp;IF($B360="","Site missing. ","")&amp;IF($D360="","Last service missing. ",IF(NOT(ISNUMBER($D360)),"Last service isn't a date. ",IF(OR($D360&lt;18264,$D360&lt;&gt;INT($D360)),"Last service isn't a valid date. ",IF($D360&gt;AsOf,"Last service is after the as-of date. ",""))))&amp;IF($E360="","Interval missing.",IF(NOT(ISNUMBER($E360)),"Interval must be a number.",IF($E360&lt;&gt;INT($E360),"Interval must be whole months.",IF(OR($E360&lt;1,$E360&gt;240),"Interval must be 1-240 months.",""))))))</f>
        <v/>
      </c>
      <c r="J360" s="17" t="str">
        <f aca="false">IF(AND($A360="",$B360="",$C360="",$D360="",$E360=""),"",IF('Due List'!$B$4="Check details",IF($G360="Check details",ROW(),""),IF('Due List'!$B$4="All records",IF($G360="Check details",ROW()/100000,$F360+ROW()/100000),IF(OR($G360="Overdue",$G360="Due today",$G360="Due in next 30 days"),$F360+ROW()/100000,""))))</f>
        <v/>
      </c>
    </row>
    <row r="361" customFormat="false" ht="15" hidden="false" customHeight="false" outlineLevel="0" collapsed="false">
      <c r="A361" s="11"/>
      <c r="B361" s="11"/>
      <c r="C361" s="11"/>
      <c r="D361" s="12"/>
      <c r="E361" s="13"/>
      <c r="F361" s="14" t="str">
        <f aca="false">IF(OR(AND($A361="",$B361="",$C361="",$D361="",$E361=""),$I361&lt;&gt;""),"",EDATE($D361,$E361))</f>
        <v/>
      </c>
      <c r="G361" s="6" t="str">
        <f aca="false">IF(AND($A361="",$B361="",$C361="",$D361="",$E361=""),"",IF($I361&lt;&gt;"","Check details",IF($F361&lt;AsOf,"Overdue",IF($F361=AsOf,"Due today",IF($F361&lt;=AsOf+30,"Due in next 30 days","Later")))))</f>
        <v/>
      </c>
      <c r="H361" s="15" t="str">
        <f aca="false">IF($F361="","",$F361-AsOf)</f>
        <v/>
      </c>
      <c r="I361" s="16" t="str">
        <f aca="false">IF(AND($A361="",$B361="",$C361="",$D361="",$E361=""),"",TRIM(IF($A361="","Name missing. ","")&amp;IF($B361="","Site missing. ","")&amp;IF($D361="","Last service missing. ",IF(NOT(ISNUMBER($D361)),"Last service isn't a date. ",IF(OR($D361&lt;18264,$D361&lt;&gt;INT($D361)),"Last service isn't a valid date. ",IF($D361&gt;AsOf,"Last service is after the as-of date. ",""))))&amp;IF($E361="","Interval missing.",IF(NOT(ISNUMBER($E361)),"Interval must be a number.",IF($E361&lt;&gt;INT($E361),"Interval must be whole months.",IF(OR($E361&lt;1,$E361&gt;240),"Interval must be 1-240 months.",""))))))</f>
        <v/>
      </c>
      <c r="J361" s="17" t="str">
        <f aca="false">IF(AND($A361="",$B361="",$C361="",$D361="",$E361=""),"",IF('Due List'!$B$4="Check details",IF($G361="Check details",ROW(),""),IF('Due List'!$B$4="All records",IF($G361="Check details",ROW()/100000,$F361+ROW()/100000),IF(OR($G361="Overdue",$G361="Due today",$G361="Due in next 30 days"),$F361+ROW()/100000,""))))</f>
        <v/>
      </c>
    </row>
    <row r="362" customFormat="false" ht="15" hidden="false" customHeight="false" outlineLevel="0" collapsed="false">
      <c r="A362" s="11"/>
      <c r="B362" s="11"/>
      <c r="C362" s="11"/>
      <c r="D362" s="12"/>
      <c r="E362" s="13"/>
      <c r="F362" s="14" t="str">
        <f aca="false">IF(OR(AND($A362="",$B362="",$C362="",$D362="",$E362=""),$I362&lt;&gt;""),"",EDATE($D362,$E362))</f>
        <v/>
      </c>
      <c r="G362" s="6" t="str">
        <f aca="false">IF(AND($A362="",$B362="",$C362="",$D362="",$E362=""),"",IF($I362&lt;&gt;"","Check details",IF($F362&lt;AsOf,"Overdue",IF($F362=AsOf,"Due today",IF($F362&lt;=AsOf+30,"Due in next 30 days","Later")))))</f>
        <v/>
      </c>
      <c r="H362" s="15" t="str">
        <f aca="false">IF($F362="","",$F362-AsOf)</f>
        <v/>
      </c>
      <c r="I362" s="16" t="str">
        <f aca="false">IF(AND($A362="",$B362="",$C362="",$D362="",$E362=""),"",TRIM(IF($A362="","Name missing. ","")&amp;IF($B362="","Site missing. ","")&amp;IF($D362="","Last service missing. ",IF(NOT(ISNUMBER($D362)),"Last service isn't a date. ",IF(OR($D362&lt;18264,$D362&lt;&gt;INT($D362)),"Last service isn't a valid date. ",IF($D362&gt;AsOf,"Last service is after the as-of date. ",""))))&amp;IF($E362="","Interval missing.",IF(NOT(ISNUMBER($E362)),"Interval must be a number.",IF($E362&lt;&gt;INT($E362),"Interval must be whole months.",IF(OR($E362&lt;1,$E362&gt;240),"Interval must be 1-240 months.",""))))))</f>
        <v/>
      </c>
      <c r="J362" s="17" t="str">
        <f aca="false">IF(AND($A362="",$B362="",$C362="",$D362="",$E362=""),"",IF('Due List'!$B$4="Check details",IF($G362="Check details",ROW(),""),IF('Due List'!$B$4="All records",IF($G362="Check details",ROW()/100000,$F362+ROW()/100000),IF(OR($G362="Overdue",$G362="Due today",$G362="Due in next 30 days"),$F362+ROW()/100000,""))))</f>
        <v/>
      </c>
    </row>
    <row r="363" customFormat="false" ht="15" hidden="false" customHeight="false" outlineLevel="0" collapsed="false">
      <c r="A363" s="11"/>
      <c r="B363" s="11"/>
      <c r="C363" s="11"/>
      <c r="D363" s="12"/>
      <c r="E363" s="13"/>
      <c r="F363" s="14" t="str">
        <f aca="false">IF(OR(AND($A363="",$B363="",$C363="",$D363="",$E363=""),$I363&lt;&gt;""),"",EDATE($D363,$E363))</f>
        <v/>
      </c>
      <c r="G363" s="6" t="str">
        <f aca="false">IF(AND($A363="",$B363="",$C363="",$D363="",$E363=""),"",IF($I363&lt;&gt;"","Check details",IF($F363&lt;AsOf,"Overdue",IF($F363=AsOf,"Due today",IF($F363&lt;=AsOf+30,"Due in next 30 days","Later")))))</f>
        <v/>
      </c>
      <c r="H363" s="15" t="str">
        <f aca="false">IF($F363="","",$F363-AsOf)</f>
        <v/>
      </c>
      <c r="I363" s="16" t="str">
        <f aca="false">IF(AND($A363="",$B363="",$C363="",$D363="",$E363=""),"",TRIM(IF($A363="","Name missing. ","")&amp;IF($B363="","Site missing. ","")&amp;IF($D363="","Last service missing. ",IF(NOT(ISNUMBER($D363)),"Last service isn't a date. ",IF(OR($D363&lt;18264,$D363&lt;&gt;INT($D363)),"Last service isn't a valid date. ",IF($D363&gt;AsOf,"Last service is after the as-of date. ",""))))&amp;IF($E363="","Interval missing.",IF(NOT(ISNUMBER($E363)),"Interval must be a number.",IF($E363&lt;&gt;INT($E363),"Interval must be whole months.",IF(OR($E363&lt;1,$E363&gt;240),"Interval must be 1-240 months.",""))))))</f>
        <v/>
      </c>
      <c r="J363" s="17" t="str">
        <f aca="false">IF(AND($A363="",$B363="",$C363="",$D363="",$E363=""),"",IF('Due List'!$B$4="Check details",IF($G363="Check details",ROW(),""),IF('Due List'!$B$4="All records",IF($G363="Check details",ROW()/100000,$F363+ROW()/100000),IF(OR($G363="Overdue",$G363="Due today",$G363="Due in next 30 days"),$F363+ROW()/100000,""))))</f>
        <v/>
      </c>
    </row>
    <row r="364" customFormat="false" ht="15" hidden="false" customHeight="false" outlineLevel="0" collapsed="false">
      <c r="A364" s="11"/>
      <c r="B364" s="11"/>
      <c r="C364" s="11"/>
      <c r="D364" s="12"/>
      <c r="E364" s="13"/>
      <c r="F364" s="14" t="str">
        <f aca="false">IF(OR(AND($A364="",$B364="",$C364="",$D364="",$E364=""),$I364&lt;&gt;""),"",EDATE($D364,$E364))</f>
        <v/>
      </c>
      <c r="G364" s="6" t="str">
        <f aca="false">IF(AND($A364="",$B364="",$C364="",$D364="",$E364=""),"",IF($I364&lt;&gt;"","Check details",IF($F364&lt;AsOf,"Overdue",IF($F364=AsOf,"Due today",IF($F364&lt;=AsOf+30,"Due in next 30 days","Later")))))</f>
        <v/>
      </c>
      <c r="H364" s="15" t="str">
        <f aca="false">IF($F364="","",$F364-AsOf)</f>
        <v/>
      </c>
      <c r="I364" s="16" t="str">
        <f aca="false">IF(AND($A364="",$B364="",$C364="",$D364="",$E364=""),"",TRIM(IF($A364="","Name missing. ","")&amp;IF($B364="","Site missing. ","")&amp;IF($D364="","Last service missing. ",IF(NOT(ISNUMBER($D364)),"Last service isn't a date. ",IF(OR($D364&lt;18264,$D364&lt;&gt;INT($D364)),"Last service isn't a valid date. ",IF($D364&gt;AsOf,"Last service is after the as-of date. ",""))))&amp;IF($E364="","Interval missing.",IF(NOT(ISNUMBER($E364)),"Interval must be a number.",IF($E364&lt;&gt;INT($E364),"Interval must be whole months.",IF(OR($E364&lt;1,$E364&gt;240),"Interval must be 1-240 months.",""))))))</f>
        <v/>
      </c>
      <c r="J364" s="17" t="str">
        <f aca="false">IF(AND($A364="",$B364="",$C364="",$D364="",$E364=""),"",IF('Due List'!$B$4="Check details",IF($G364="Check details",ROW(),""),IF('Due List'!$B$4="All records",IF($G364="Check details",ROW()/100000,$F364+ROW()/100000),IF(OR($G364="Overdue",$G364="Due today",$G364="Due in next 30 days"),$F364+ROW()/100000,""))))</f>
        <v/>
      </c>
    </row>
    <row r="365" customFormat="false" ht="15" hidden="false" customHeight="false" outlineLevel="0" collapsed="false">
      <c r="A365" s="11"/>
      <c r="B365" s="11"/>
      <c r="C365" s="11"/>
      <c r="D365" s="12"/>
      <c r="E365" s="13"/>
      <c r="F365" s="14" t="str">
        <f aca="false">IF(OR(AND($A365="",$B365="",$C365="",$D365="",$E365=""),$I365&lt;&gt;""),"",EDATE($D365,$E365))</f>
        <v/>
      </c>
      <c r="G365" s="6" t="str">
        <f aca="false">IF(AND($A365="",$B365="",$C365="",$D365="",$E365=""),"",IF($I365&lt;&gt;"","Check details",IF($F365&lt;AsOf,"Overdue",IF($F365=AsOf,"Due today",IF($F365&lt;=AsOf+30,"Due in next 30 days","Later")))))</f>
        <v/>
      </c>
      <c r="H365" s="15" t="str">
        <f aca="false">IF($F365="","",$F365-AsOf)</f>
        <v/>
      </c>
      <c r="I365" s="16" t="str">
        <f aca="false">IF(AND($A365="",$B365="",$C365="",$D365="",$E365=""),"",TRIM(IF($A365="","Name missing. ","")&amp;IF($B365="","Site missing. ","")&amp;IF($D365="","Last service missing. ",IF(NOT(ISNUMBER($D365)),"Last service isn't a date. ",IF(OR($D365&lt;18264,$D365&lt;&gt;INT($D365)),"Last service isn't a valid date. ",IF($D365&gt;AsOf,"Last service is after the as-of date. ",""))))&amp;IF($E365="","Interval missing.",IF(NOT(ISNUMBER($E365)),"Interval must be a number.",IF($E365&lt;&gt;INT($E365),"Interval must be whole months.",IF(OR($E365&lt;1,$E365&gt;240),"Interval must be 1-240 months.",""))))))</f>
        <v/>
      </c>
      <c r="J365" s="17" t="str">
        <f aca="false">IF(AND($A365="",$B365="",$C365="",$D365="",$E365=""),"",IF('Due List'!$B$4="Check details",IF($G365="Check details",ROW(),""),IF('Due List'!$B$4="All records",IF($G365="Check details",ROW()/100000,$F365+ROW()/100000),IF(OR($G365="Overdue",$G365="Due today",$G365="Due in next 30 days"),$F365+ROW()/100000,""))))</f>
        <v/>
      </c>
    </row>
    <row r="366" customFormat="false" ht="15" hidden="false" customHeight="false" outlineLevel="0" collapsed="false">
      <c r="A366" s="11"/>
      <c r="B366" s="11"/>
      <c r="C366" s="11"/>
      <c r="D366" s="12"/>
      <c r="E366" s="13"/>
      <c r="F366" s="14" t="str">
        <f aca="false">IF(OR(AND($A366="",$B366="",$C366="",$D366="",$E366=""),$I366&lt;&gt;""),"",EDATE($D366,$E366))</f>
        <v/>
      </c>
      <c r="G366" s="6" t="str">
        <f aca="false">IF(AND($A366="",$B366="",$C366="",$D366="",$E366=""),"",IF($I366&lt;&gt;"","Check details",IF($F366&lt;AsOf,"Overdue",IF($F366=AsOf,"Due today",IF($F366&lt;=AsOf+30,"Due in next 30 days","Later")))))</f>
        <v/>
      </c>
      <c r="H366" s="15" t="str">
        <f aca="false">IF($F366="","",$F366-AsOf)</f>
        <v/>
      </c>
      <c r="I366" s="16" t="str">
        <f aca="false">IF(AND($A366="",$B366="",$C366="",$D366="",$E366=""),"",TRIM(IF($A366="","Name missing. ","")&amp;IF($B366="","Site missing. ","")&amp;IF($D366="","Last service missing. ",IF(NOT(ISNUMBER($D366)),"Last service isn't a date. ",IF(OR($D366&lt;18264,$D366&lt;&gt;INT($D366)),"Last service isn't a valid date. ",IF($D366&gt;AsOf,"Last service is after the as-of date. ",""))))&amp;IF($E366="","Interval missing.",IF(NOT(ISNUMBER($E366)),"Interval must be a number.",IF($E366&lt;&gt;INT($E366),"Interval must be whole months.",IF(OR($E366&lt;1,$E366&gt;240),"Interval must be 1-240 months.",""))))))</f>
        <v/>
      </c>
      <c r="J366" s="17" t="str">
        <f aca="false">IF(AND($A366="",$B366="",$C366="",$D366="",$E366=""),"",IF('Due List'!$B$4="Check details",IF($G366="Check details",ROW(),""),IF('Due List'!$B$4="All records",IF($G366="Check details",ROW()/100000,$F366+ROW()/100000),IF(OR($G366="Overdue",$G366="Due today",$G366="Due in next 30 days"),$F366+ROW()/100000,""))))</f>
        <v/>
      </c>
    </row>
    <row r="367" customFormat="false" ht="15" hidden="false" customHeight="false" outlineLevel="0" collapsed="false">
      <c r="A367" s="11"/>
      <c r="B367" s="11"/>
      <c r="C367" s="11"/>
      <c r="D367" s="12"/>
      <c r="E367" s="13"/>
      <c r="F367" s="14" t="str">
        <f aca="false">IF(OR(AND($A367="",$B367="",$C367="",$D367="",$E367=""),$I367&lt;&gt;""),"",EDATE($D367,$E367))</f>
        <v/>
      </c>
      <c r="G367" s="6" t="str">
        <f aca="false">IF(AND($A367="",$B367="",$C367="",$D367="",$E367=""),"",IF($I367&lt;&gt;"","Check details",IF($F367&lt;AsOf,"Overdue",IF($F367=AsOf,"Due today",IF($F367&lt;=AsOf+30,"Due in next 30 days","Later")))))</f>
        <v/>
      </c>
      <c r="H367" s="15" t="str">
        <f aca="false">IF($F367="","",$F367-AsOf)</f>
        <v/>
      </c>
      <c r="I367" s="16" t="str">
        <f aca="false">IF(AND($A367="",$B367="",$C367="",$D367="",$E367=""),"",TRIM(IF($A367="","Name missing. ","")&amp;IF($B367="","Site missing. ","")&amp;IF($D367="","Last service missing. ",IF(NOT(ISNUMBER($D367)),"Last service isn't a date. ",IF(OR($D367&lt;18264,$D367&lt;&gt;INT($D367)),"Last service isn't a valid date. ",IF($D367&gt;AsOf,"Last service is after the as-of date. ",""))))&amp;IF($E367="","Interval missing.",IF(NOT(ISNUMBER($E367)),"Interval must be a number.",IF($E367&lt;&gt;INT($E367),"Interval must be whole months.",IF(OR($E367&lt;1,$E367&gt;240),"Interval must be 1-240 months.",""))))))</f>
        <v/>
      </c>
      <c r="J367" s="17" t="str">
        <f aca="false">IF(AND($A367="",$B367="",$C367="",$D367="",$E367=""),"",IF('Due List'!$B$4="Check details",IF($G367="Check details",ROW(),""),IF('Due List'!$B$4="All records",IF($G367="Check details",ROW()/100000,$F367+ROW()/100000),IF(OR($G367="Overdue",$G367="Due today",$G367="Due in next 30 days"),$F367+ROW()/100000,""))))</f>
        <v/>
      </c>
    </row>
    <row r="368" customFormat="false" ht="15" hidden="false" customHeight="false" outlineLevel="0" collapsed="false">
      <c r="A368" s="11"/>
      <c r="B368" s="11"/>
      <c r="C368" s="11"/>
      <c r="D368" s="12"/>
      <c r="E368" s="13"/>
      <c r="F368" s="14" t="str">
        <f aca="false">IF(OR(AND($A368="",$B368="",$C368="",$D368="",$E368=""),$I368&lt;&gt;""),"",EDATE($D368,$E368))</f>
        <v/>
      </c>
      <c r="G368" s="6" t="str">
        <f aca="false">IF(AND($A368="",$B368="",$C368="",$D368="",$E368=""),"",IF($I368&lt;&gt;"","Check details",IF($F368&lt;AsOf,"Overdue",IF($F368=AsOf,"Due today",IF($F368&lt;=AsOf+30,"Due in next 30 days","Later")))))</f>
        <v/>
      </c>
      <c r="H368" s="15" t="str">
        <f aca="false">IF($F368="","",$F368-AsOf)</f>
        <v/>
      </c>
      <c r="I368" s="16" t="str">
        <f aca="false">IF(AND($A368="",$B368="",$C368="",$D368="",$E368=""),"",TRIM(IF($A368="","Name missing. ","")&amp;IF($B368="","Site missing. ","")&amp;IF($D368="","Last service missing. ",IF(NOT(ISNUMBER($D368)),"Last service isn't a date. ",IF(OR($D368&lt;18264,$D368&lt;&gt;INT($D368)),"Last service isn't a valid date. ",IF($D368&gt;AsOf,"Last service is after the as-of date. ",""))))&amp;IF($E368="","Interval missing.",IF(NOT(ISNUMBER($E368)),"Interval must be a number.",IF($E368&lt;&gt;INT($E368),"Interval must be whole months.",IF(OR($E368&lt;1,$E368&gt;240),"Interval must be 1-240 months.",""))))))</f>
        <v/>
      </c>
      <c r="J368" s="17" t="str">
        <f aca="false">IF(AND($A368="",$B368="",$C368="",$D368="",$E368=""),"",IF('Due List'!$B$4="Check details",IF($G368="Check details",ROW(),""),IF('Due List'!$B$4="All records",IF($G368="Check details",ROW()/100000,$F368+ROW()/100000),IF(OR($G368="Overdue",$G368="Due today",$G368="Due in next 30 days"),$F368+ROW()/100000,""))))</f>
        <v/>
      </c>
    </row>
    <row r="369" customFormat="false" ht="15" hidden="false" customHeight="false" outlineLevel="0" collapsed="false">
      <c r="A369" s="11"/>
      <c r="B369" s="11"/>
      <c r="C369" s="11"/>
      <c r="D369" s="12"/>
      <c r="E369" s="13"/>
      <c r="F369" s="14" t="str">
        <f aca="false">IF(OR(AND($A369="",$B369="",$C369="",$D369="",$E369=""),$I369&lt;&gt;""),"",EDATE($D369,$E369))</f>
        <v/>
      </c>
      <c r="G369" s="6" t="str">
        <f aca="false">IF(AND($A369="",$B369="",$C369="",$D369="",$E369=""),"",IF($I369&lt;&gt;"","Check details",IF($F369&lt;AsOf,"Overdue",IF($F369=AsOf,"Due today",IF($F369&lt;=AsOf+30,"Due in next 30 days","Later")))))</f>
        <v/>
      </c>
      <c r="H369" s="15" t="str">
        <f aca="false">IF($F369="","",$F369-AsOf)</f>
        <v/>
      </c>
      <c r="I369" s="16" t="str">
        <f aca="false">IF(AND($A369="",$B369="",$C369="",$D369="",$E369=""),"",TRIM(IF($A369="","Name missing. ","")&amp;IF($B369="","Site missing. ","")&amp;IF($D369="","Last service missing. ",IF(NOT(ISNUMBER($D369)),"Last service isn't a date. ",IF(OR($D369&lt;18264,$D369&lt;&gt;INT($D369)),"Last service isn't a valid date. ",IF($D369&gt;AsOf,"Last service is after the as-of date. ",""))))&amp;IF($E369="","Interval missing.",IF(NOT(ISNUMBER($E369)),"Interval must be a number.",IF($E369&lt;&gt;INT($E369),"Interval must be whole months.",IF(OR($E369&lt;1,$E369&gt;240),"Interval must be 1-240 months.",""))))))</f>
        <v/>
      </c>
      <c r="J369" s="17" t="str">
        <f aca="false">IF(AND($A369="",$B369="",$C369="",$D369="",$E369=""),"",IF('Due List'!$B$4="Check details",IF($G369="Check details",ROW(),""),IF('Due List'!$B$4="All records",IF($G369="Check details",ROW()/100000,$F369+ROW()/100000),IF(OR($G369="Overdue",$G369="Due today",$G369="Due in next 30 days"),$F369+ROW()/100000,""))))</f>
        <v/>
      </c>
    </row>
    <row r="370" customFormat="false" ht="15" hidden="false" customHeight="false" outlineLevel="0" collapsed="false">
      <c r="A370" s="11"/>
      <c r="B370" s="11"/>
      <c r="C370" s="11"/>
      <c r="D370" s="12"/>
      <c r="E370" s="13"/>
      <c r="F370" s="14" t="str">
        <f aca="false">IF(OR(AND($A370="",$B370="",$C370="",$D370="",$E370=""),$I370&lt;&gt;""),"",EDATE($D370,$E370))</f>
        <v/>
      </c>
      <c r="G370" s="6" t="str">
        <f aca="false">IF(AND($A370="",$B370="",$C370="",$D370="",$E370=""),"",IF($I370&lt;&gt;"","Check details",IF($F370&lt;AsOf,"Overdue",IF($F370=AsOf,"Due today",IF($F370&lt;=AsOf+30,"Due in next 30 days","Later")))))</f>
        <v/>
      </c>
      <c r="H370" s="15" t="str">
        <f aca="false">IF($F370="","",$F370-AsOf)</f>
        <v/>
      </c>
      <c r="I370" s="16" t="str">
        <f aca="false">IF(AND($A370="",$B370="",$C370="",$D370="",$E370=""),"",TRIM(IF($A370="","Name missing. ","")&amp;IF($B370="","Site missing. ","")&amp;IF($D370="","Last service missing. ",IF(NOT(ISNUMBER($D370)),"Last service isn't a date. ",IF(OR($D370&lt;18264,$D370&lt;&gt;INT($D370)),"Last service isn't a valid date. ",IF($D370&gt;AsOf,"Last service is after the as-of date. ",""))))&amp;IF($E370="","Interval missing.",IF(NOT(ISNUMBER($E370)),"Interval must be a number.",IF($E370&lt;&gt;INT($E370),"Interval must be whole months.",IF(OR($E370&lt;1,$E370&gt;240),"Interval must be 1-240 months.",""))))))</f>
        <v/>
      </c>
      <c r="J370" s="17" t="str">
        <f aca="false">IF(AND($A370="",$B370="",$C370="",$D370="",$E370=""),"",IF('Due List'!$B$4="Check details",IF($G370="Check details",ROW(),""),IF('Due List'!$B$4="All records",IF($G370="Check details",ROW()/100000,$F370+ROW()/100000),IF(OR($G370="Overdue",$G370="Due today",$G370="Due in next 30 days"),$F370+ROW()/100000,""))))</f>
        <v/>
      </c>
    </row>
    <row r="371" customFormat="false" ht="15" hidden="false" customHeight="false" outlineLevel="0" collapsed="false">
      <c r="A371" s="11"/>
      <c r="B371" s="11"/>
      <c r="C371" s="11"/>
      <c r="D371" s="12"/>
      <c r="E371" s="13"/>
      <c r="F371" s="14" t="str">
        <f aca="false">IF(OR(AND($A371="",$B371="",$C371="",$D371="",$E371=""),$I371&lt;&gt;""),"",EDATE($D371,$E371))</f>
        <v/>
      </c>
      <c r="G371" s="6" t="str">
        <f aca="false">IF(AND($A371="",$B371="",$C371="",$D371="",$E371=""),"",IF($I371&lt;&gt;"","Check details",IF($F371&lt;AsOf,"Overdue",IF($F371=AsOf,"Due today",IF($F371&lt;=AsOf+30,"Due in next 30 days","Later")))))</f>
        <v/>
      </c>
      <c r="H371" s="15" t="str">
        <f aca="false">IF($F371="","",$F371-AsOf)</f>
        <v/>
      </c>
      <c r="I371" s="16" t="str">
        <f aca="false">IF(AND($A371="",$B371="",$C371="",$D371="",$E371=""),"",TRIM(IF($A371="","Name missing. ","")&amp;IF($B371="","Site missing. ","")&amp;IF($D371="","Last service missing. ",IF(NOT(ISNUMBER($D371)),"Last service isn't a date. ",IF(OR($D371&lt;18264,$D371&lt;&gt;INT($D371)),"Last service isn't a valid date. ",IF($D371&gt;AsOf,"Last service is after the as-of date. ",""))))&amp;IF($E371="","Interval missing.",IF(NOT(ISNUMBER($E371)),"Interval must be a number.",IF($E371&lt;&gt;INT($E371),"Interval must be whole months.",IF(OR($E371&lt;1,$E371&gt;240),"Interval must be 1-240 months.",""))))))</f>
        <v/>
      </c>
      <c r="J371" s="17" t="str">
        <f aca="false">IF(AND($A371="",$B371="",$C371="",$D371="",$E371=""),"",IF('Due List'!$B$4="Check details",IF($G371="Check details",ROW(),""),IF('Due List'!$B$4="All records",IF($G371="Check details",ROW()/100000,$F371+ROW()/100000),IF(OR($G371="Overdue",$G371="Due today",$G371="Due in next 30 days"),$F371+ROW()/100000,""))))</f>
        <v/>
      </c>
    </row>
    <row r="372" customFormat="false" ht="15" hidden="false" customHeight="false" outlineLevel="0" collapsed="false">
      <c r="A372" s="11"/>
      <c r="B372" s="11"/>
      <c r="C372" s="11"/>
      <c r="D372" s="12"/>
      <c r="E372" s="13"/>
      <c r="F372" s="14" t="str">
        <f aca="false">IF(OR(AND($A372="",$B372="",$C372="",$D372="",$E372=""),$I372&lt;&gt;""),"",EDATE($D372,$E372))</f>
        <v/>
      </c>
      <c r="G372" s="6" t="str">
        <f aca="false">IF(AND($A372="",$B372="",$C372="",$D372="",$E372=""),"",IF($I372&lt;&gt;"","Check details",IF($F372&lt;AsOf,"Overdue",IF($F372=AsOf,"Due today",IF($F372&lt;=AsOf+30,"Due in next 30 days","Later")))))</f>
        <v/>
      </c>
      <c r="H372" s="15" t="str">
        <f aca="false">IF($F372="","",$F372-AsOf)</f>
        <v/>
      </c>
      <c r="I372" s="16" t="str">
        <f aca="false">IF(AND($A372="",$B372="",$C372="",$D372="",$E372=""),"",TRIM(IF($A372="","Name missing. ","")&amp;IF($B372="","Site missing. ","")&amp;IF($D372="","Last service missing. ",IF(NOT(ISNUMBER($D372)),"Last service isn't a date. ",IF(OR($D372&lt;18264,$D372&lt;&gt;INT($D372)),"Last service isn't a valid date. ",IF($D372&gt;AsOf,"Last service is after the as-of date. ",""))))&amp;IF($E372="","Interval missing.",IF(NOT(ISNUMBER($E372)),"Interval must be a number.",IF($E372&lt;&gt;INT($E372),"Interval must be whole months.",IF(OR($E372&lt;1,$E372&gt;240),"Interval must be 1-240 months.",""))))))</f>
        <v/>
      </c>
      <c r="J372" s="17" t="str">
        <f aca="false">IF(AND($A372="",$B372="",$C372="",$D372="",$E372=""),"",IF('Due List'!$B$4="Check details",IF($G372="Check details",ROW(),""),IF('Due List'!$B$4="All records",IF($G372="Check details",ROW()/100000,$F372+ROW()/100000),IF(OR($G372="Overdue",$G372="Due today",$G372="Due in next 30 days"),$F372+ROW()/100000,""))))</f>
        <v/>
      </c>
    </row>
    <row r="373" customFormat="false" ht="15" hidden="false" customHeight="false" outlineLevel="0" collapsed="false">
      <c r="A373" s="11"/>
      <c r="B373" s="11"/>
      <c r="C373" s="11"/>
      <c r="D373" s="12"/>
      <c r="E373" s="13"/>
      <c r="F373" s="14" t="str">
        <f aca="false">IF(OR(AND($A373="",$B373="",$C373="",$D373="",$E373=""),$I373&lt;&gt;""),"",EDATE($D373,$E373))</f>
        <v/>
      </c>
      <c r="G373" s="6" t="str">
        <f aca="false">IF(AND($A373="",$B373="",$C373="",$D373="",$E373=""),"",IF($I373&lt;&gt;"","Check details",IF($F373&lt;AsOf,"Overdue",IF($F373=AsOf,"Due today",IF($F373&lt;=AsOf+30,"Due in next 30 days","Later")))))</f>
        <v/>
      </c>
      <c r="H373" s="15" t="str">
        <f aca="false">IF($F373="","",$F373-AsOf)</f>
        <v/>
      </c>
      <c r="I373" s="16" t="str">
        <f aca="false">IF(AND($A373="",$B373="",$C373="",$D373="",$E373=""),"",TRIM(IF($A373="","Name missing. ","")&amp;IF($B373="","Site missing. ","")&amp;IF($D373="","Last service missing. ",IF(NOT(ISNUMBER($D373)),"Last service isn't a date. ",IF(OR($D373&lt;18264,$D373&lt;&gt;INT($D373)),"Last service isn't a valid date. ",IF($D373&gt;AsOf,"Last service is after the as-of date. ",""))))&amp;IF($E373="","Interval missing.",IF(NOT(ISNUMBER($E373)),"Interval must be a number.",IF($E373&lt;&gt;INT($E373),"Interval must be whole months.",IF(OR($E373&lt;1,$E373&gt;240),"Interval must be 1-240 months.",""))))))</f>
        <v/>
      </c>
      <c r="J373" s="17" t="str">
        <f aca="false">IF(AND($A373="",$B373="",$C373="",$D373="",$E373=""),"",IF('Due List'!$B$4="Check details",IF($G373="Check details",ROW(),""),IF('Due List'!$B$4="All records",IF($G373="Check details",ROW()/100000,$F373+ROW()/100000),IF(OR($G373="Overdue",$G373="Due today",$G373="Due in next 30 days"),$F373+ROW()/100000,""))))</f>
        <v/>
      </c>
    </row>
    <row r="374" customFormat="false" ht="15" hidden="false" customHeight="false" outlineLevel="0" collapsed="false">
      <c r="A374" s="11"/>
      <c r="B374" s="11"/>
      <c r="C374" s="11"/>
      <c r="D374" s="12"/>
      <c r="E374" s="13"/>
      <c r="F374" s="14" t="str">
        <f aca="false">IF(OR(AND($A374="",$B374="",$C374="",$D374="",$E374=""),$I374&lt;&gt;""),"",EDATE($D374,$E374))</f>
        <v/>
      </c>
      <c r="G374" s="6" t="str">
        <f aca="false">IF(AND($A374="",$B374="",$C374="",$D374="",$E374=""),"",IF($I374&lt;&gt;"","Check details",IF($F374&lt;AsOf,"Overdue",IF($F374=AsOf,"Due today",IF($F374&lt;=AsOf+30,"Due in next 30 days","Later")))))</f>
        <v/>
      </c>
      <c r="H374" s="15" t="str">
        <f aca="false">IF($F374="","",$F374-AsOf)</f>
        <v/>
      </c>
      <c r="I374" s="16" t="str">
        <f aca="false">IF(AND($A374="",$B374="",$C374="",$D374="",$E374=""),"",TRIM(IF($A374="","Name missing. ","")&amp;IF($B374="","Site missing. ","")&amp;IF($D374="","Last service missing. ",IF(NOT(ISNUMBER($D374)),"Last service isn't a date. ",IF(OR($D374&lt;18264,$D374&lt;&gt;INT($D374)),"Last service isn't a valid date. ",IF($D374&gt;AsOf,"Last service is after the as-of date. ",""))))&amp;IF($E374="","Interval missing.",IF(NOT(ISNUMBER($E374)),"Interval must be a number.",IF($E374&lt;&gt;INT($E374),"Interval must be whole months.",IF(OR($E374&lt;1,$E374&gt;240),"Interval must be 1-240 months.",""))))))</f>
        <v/>
      </c>
      <c r="J374" s="17" t="str">
        <f aca="false">IF(AND($A374="",$B374="",$C374="",$D374="",$E374=""),"",IF('Due List'!$B$4="Check details",IF($G374="Check details",ROW(),""),IF('Due List'!$B$4="All records",IF($G374="Check details",ROW()/100000,$F374+ROW()/100000),IF(OR($G374="Overdue",$G374="Due today",$G374="Due in next 30 days"),$F374+ROW()/100000,""))))</f>
        <v/>
      </c>
    </row>
    <row r="375" customFormat="false" ht="15" hidden="false" customHeight="false" outlineLevel="0" collapsed="false">
      <c r="A375" s="11"/>
      <c r="B375" s="11"/>
      <c r="C375" s="11"/>
      <c r="D375" s="12"/>
      <c r="E375" s="13"/>
      <c r="F375" s="14" t="str">
        <f aca="false">IF(OR(AND($A375="",$B375="",$C375="",$D375="",$E375=""),$I375&lt;&gt;""),"",EDATE($D375,$E375))</f>
        <v/>
      </c>
      <c r="G375" s="6" t="str">
        <f aca="false">IF(AND($A375="",$B375="",$C375="",$D375="",$E375=""),"",IF($I375&lt;&gt;"","Check details",IF($F375&lt;AsOf,"Overdue",IF($F375=AsOf,"Due today",IF($F375&lt;=AsOf+30,"Due in next 30 days","Later")))))</f>
        <v/>
      </c>
      <c r="H375" s="15" t="str">
        <f aca="false">IF($F375="","",$F375-AsOf)</f>
        <v/>
      </c>
      <c r="I375" s="16" t="str">
        <f aca="false">IF(AND($A375="",$B375="",$C375="",$D375="",$E375=""),"",TRIM(IF($A375="","Name missing. ","")&amp;IF($B375="","Site missing. ","")&amp;IF($D375="","Last service missing. ",IF(NOT(ISNUMBER($D375)),"Last service isn't a date. ",IF(OR($D375&lt;18264,$D375&lt;&gt;INT($D375)),"Last service isn't a valid date. ",IF($D375&gt;AsOf,"Last service is after the as-of date. ",""))))&amp;IF($E375="","Interval missing.",IF(NOT(ISNUMBER($E375)),"Interval must be a number.",IF($E375&lt;&gt;INT($E375),"Interval must be whole months.",IF(OR($E375&lt;1,$E375&gt;240),"Interval must be 1-240 months.",""))))))</f>
        <v/>
      </c>
      <c r="J375" s="17" t="str">
        <f aca="false">IF(AND($A375="",$B375="",$C375="",$D375="",$E375=""),"",IF('Due List'!$B$4="Check details",IF($G375="Check details",ROW(),""),IF('Due List'!$B$4="All records",IF($G375="Check details",ROW()/100000,$F375+ROW()/100000),IF(OR($G375="Overdue",$G375="Due today",$G375="Due in next 30 days"),$F375+ROW()/100000,""))))</f>
        <v/>
      </c>
    </row>
    <row r="376" customFormat="false" ht="15" hidden="false" customHeight="false" outlineLevel="0" collapsed="false">
      <c r="A376" s="11"/>
      <c r="B376" s="11"/>
      <c r="C376" s="11"/>
      <c r="D376" s="12"/>
      <c r="E376" s="13"/>
      <c r="F376" s="14" t="str">
        <f aca="false">IF(OR(AND($A376="",$B376="",$C376="",$D376="",$E376=""),$I376&lt;&gt;""),"",EDATE($D376,$E376))</f>
        <v/>
      </c>
      <c r="G376" s="6" t="str">
        <f aca="false">IF(AND($A376="",$B376="",$C376="",$D376="",$E376=""),"",IF($I376&lt;&gt;"","Check details",IF($F376&lt;AsOf,"Overdue",IF($F376=AsOf,"Due today",IF($F376&lt;=AsOf+30,"Due in next 30 days","Later")))))</f>
        <v/>
      </c>
      <c r="H376" s="15" t="str">
        <f aca="false">IF($F376="","",$F376-AsOf)</f>
        <v/>
      </c>
      <c r="I376" s="16" t="str">
        <f aca="false">IF(AND($A376="",$B376="",$C376="",$D376="",$E376=""),"",TRIM(IF($A376="","Name missing. ","")&amp;IF($B376="","Site missing. ","")&amp;IF($D376="","Last service missing. ",IF(NOT(ISNUMBER($D376)),"Last service isn't a date. ",IF(OR($D376&lt;18264,$D376&lt;&gt;INT($D376)),"Last service isn't a valid date. ",IF($D376&gt;AsOf,"Last service is after the as-of date. ",""))))&amp;IF($E376="","Interval missing.",IF(NOT(ISNUMBER($E376)),"Interval must be a number.",IF($E376&lt;&gt;INT($E376),"Interval must be whole months.",IF(OR($E376&lt;1,$E376&gt;240),"Interval must be 1-240 months.",""))))))</f>
        <v/>
      </c>
      <c r="J376" s="17" t="str">
        <f aca="false">IF(AND($A376="",$B376="",$C376="",$D376="",$E376=""),"",IF('Due List'!$B$4="Check details",IF($G376="Check details",ROW(),""),IF('Due List'!$B$4="All records",IF($G376="Check details",ROW()/100000,$F376+ROW()/100000),IF(OR($G376="Overdue",$G376="Due today",$G376="Due in next 30 days"),$F376+ROW()/100000,""))))</f>
        <v/>
      </c>
    </row>
    <row r="377" customFormat="false" ht="15" hidden="false" customHeight="false" outlineLevel="0" collapsed="false">
      <c r="A377" s="11"/>
      <c r="B377" s="11"/>
      <c r="C377" s="11"/>
      <c r="D377" s="12"/>
      <c r="E377" s="13"/>
      <c r="F377" s="14" t="str">
        <f aca="false">IF(OR(AND($A377="",$B377="",$C377="",$D377="",$E377=""),$I377&lt;&gt;""),"",EDATE($D377,$E377))</f>
        <v/>
      </c>
      <c r="G377" s="6" t="str">
        <f aca="false">IF(AND($A377="",$B377="",$C377="",$D377="",$E377=""),"",IF($I377&lt;&gt;"","Check details",IF($F377&lt;AsOf,"Overdue",IF($F377=AsOf,"Due today",IF($F377&lt;=AsOf+30,"Due in next 30 days","Later")))))</f>
        <v/>
      </c>
      <c r="H377" s="15" t="str">
        <f aca="false">IF($F377="","",$F377-AsOf)</f>
        <v/>
      </c>
      <c r="I377" s="16" t="str">
        <f aca="false">IF(AND($A377="",$B377="",$C377="",$D377="",$E377=""),"",TRIM(IF($A377="","Name missing. ","")&amp;IF($B377="","Site missing. ","")&amp;IF($D377="","Last service missing. ",IF(NOT(ISNUMBER($D377)),"Last service isn't a date. ",IF(OR($D377&lt;18264,$D377&lt;&gt;INT($D377)),"Last service isn't a valid date. ",IF($D377&gt;AsOf,"Last service is after the as-of date. ",""))))&amp;IF($E377="","Interval missing.",IF(NOT(ISNUMBER($E377)),"Interval must be a number.",IF($E377&lt;&gt;INT($E377),"Interval must be whole months.",IF(OR($E377&lt;1,$E377&gt;240),"Interval must be 1-240 months.",""))))))</f>
        <v/>
      </c>
      <c r="J377" s="17" t="str">
        <f aca="false">IF(AND($A377="",$B377="",$C377="",$D377="",$E377=""),"",IF('Due List'!$B$4="Check details",IF($G377="Check details",ROW(),""),IF('Due List'!$B$4="All records",IF($G377="Check details",ROW()/100000,$F377+ROW()/100000),IF(OR($G377="Overdue",$G377="Due today",$G377="Due in next 30 days"),$F377+ROW()/100000,""))))</f>
        <v/>
      </c>
    </row>
    <row r="378" customFormat="false" ht="15" hidden="false" customHeight="false" outlineLevel="0" collapsed="false">
      <c r="A378" s="11"/>
      <c r="B378" s="11"/>
      <c r="C378" s="11"/>
      <c r="D378" s="12"/>
      <c r="E378" s="13"/>
      <c r="F378" s="14" t="str">
        <f aca="false">IF(OR(AND($A378="",$B378="",$C378="",$D378="",$E378=""),$I378&lt;&gt;""),"",EDATE($D378,$E378))</f>
        <v/>
      </c>
      <c r="G378" s="6" t="str">
        <f aca="false">IF(AND($A378="",$B378="",$C378="",$D378="",$E378=""),"",IF($I378&lt;&gt;"","Check details",IF($F378&lt;AsOf,"Overdue",IF($F378=AsOf,"Due today",IF($F378&lt;=AsOf+30,"Due in next 30 days","Later")))))</f>
        <v/>
      </c>
      <c r="H378" s="15" t="str">
        <f aca="false">IF($F378="","",$F378-AsOf)</f>
        <v/>
      </c>
      <c r="I378" s="16" t="str">
        <f aca="false">IF(AND($A378="",$B378="",$C378="",$D378="",$E378=""),"",TRIM(IF($A378="","Name missing. ","")&amp;IF($B378="","Site missing. ","")&amp;IF($D378="","Last service missing. ",IF(NOT(ISNUMBER($D378)),"Last service isn't a date. ",IF(OR($D378&lt;18264,$D378&lt;&gt;INT($D378)),"Last service isn't a valid date. ",IF($D378&gt;AsOf,"Last service is after the as-of date. ",""))))&amp;IF($E378="","Interval missing.",IF(NOT(ISNUMBER($E378)),"Interval must be a number.",IF($E378&lt;&gt;INT($E378),"Interval must be whole months.",IF(OR($E378&lt;1,$E378&gt;240),"Interval must be 1-240 months.",""))))))</f>
        <v/>
      </c>
      <c r="J378" s="17" t="str">
        <f aca="false">IF(AND($A378="",$B378="",$C378="",$D378="",$E378=""),"",IF('Due List'!$B$4="Check details",IF($G378="Check details",ROW(),""),IF('Due List'!$B$4="All records",IF($G378="Check details",ROW()/100000,$F378+ROW()/100000),IF(OR($G378="Overdue",$G378="Due today",$G378="Due in next 30 days"),$F378+ROW()/100000,""))))</f>
        <v/>
      </c>
    </row>
    <row r="379" customFormat="false" ht="15" hidden="false" customHeight="false" outlineLevel="0" collapsed="false">
      <c r="A379" s="11"/>
      <c r="B379" s="11"/>
      <c r="C379" s="11"/>
      <c r="D379" s="12"/>
      <c r="E379" s="13"/>
      <c r="F379" s="14" t="str">
        <f aca="false">IF(OR(AND($A379="",$B379="",$C379="",$D379="",$E379=""),$I379&lt;&gt;""),"",EDATE($D379,$E379))</f>
        <v/>
      </c>
      <c r="G379" s="6" t="str">
        <f aca="false">IF(AND($A379="",$B379="",$C379="",$D379="",$E379=""),"",IF($I379&lt;&gt;"","Check details",IF($F379&lt;AsOf,"Overdue",IF($F379=AsOf,"Due today",IF($F379&lt;=AsOf+30,"Due in next 30 days","Later")))))</f>
        <v/>
      </c>
      <c r="H379" s="15" t="str">
        <f aca="false">IF($F379="","",$F379-AsOf)</f>
        <v/>
      </c>
      <c r="I379" s="16" t="str">
        <f aca="false">IF(AND($A379="",$B379="",$C379="",$D379="",$E379=""),"",TRIM(IF($A379="","Name missing. ","")&amp;IF($B379="","Site missing. ","")&amp;IF($D379="","Last service missing. ",IF(NOT(ISNUMBER($D379)),"Last service isn't a date. ",IF(OR($D379&lt;18264,$D379&lt;&gt;INT($D379)),"Last service isn't a valid date. ",IF($D379&gt;AsOf,"Last service is after the as-of date. ",""))))&amp;IF($E379="","Interval missing.",IF(NOT(ISNUMBER($E379)),"Interval must be a number.",IF($E379&lt;&gt;INT($E379),"Interval must be whole months.",IF(OR($E379&lt;1,$E379&gt;240),"Interval must be 1-240 months.",""))))))</f>
        <v/>
      </c>
      <c r="J379" s="17" t="str">
        <f aca="false">IF(AND($A379="",$B379="",$C379="",$D379="",$E379=""),"",IF('Due List'!$B$4="Check details",IF($G379="Check details",ROW(),""),IF('Due List'!$B$4="All records",IF($G379="Check details",ROW()/100000,$F379+ROW()/100000),IF(OR($G379="Overdue",$G379="Due today",$G379="Due in next 30 days"),$F379+ROW()/100000,""))))</f>
        <v/>
      </c>
    </row>
    <row r="380" customFormat="false" ht="15" hidden="false" customHeight="false" outlineLevel="0" collapsed="false">
      <c r="A380" s="11"/>
      <c r="B380" s="11"/>
      <c r="C380" s="11"/>
      <c r="D380" s="12"/>
      <c r="E380" s="13"/>
      <c r="F380" s="14" t="str">
        <f aca="false">IF(OR(AND($A380="",$B380="",$C380="",$D380="",$E380=""),$I380&lt;&gt;""),"",EDATE($D380,$E380))</f>
        <v/>
      </c>
      <c r="G380" s="6" t="str">
        <f aca="false">IF(AND($A380="",$B380="",$C380="",$D380="",$E380=""),"",IF($I380&lt;&gt;"","Check details",IF($F380&lt;AsOf,"Overdue",IF($F380=AsOf,"Due today",IF($F380&lt;=AsOf+30,"Due in next 30 days","Later")))))</f>
        <v/>
      </c>
      <c r="H380" s="15" t="str">
        <f aca="false">IF($F380="","",$F380-AsOf)</f>
        <v/>
      </c>
      <c r="I380" s="16" t="str">
        <f aca="false">IF(AND($A380="",$B380="",$C380="",$D380="",$E380=""),"",TRIM(IF($A380="","Name missing. ","")&amp;IF($B380="","Site missing. ","")&amp;IF($D380="","Last service missing. ",IF(NOT(ISNUMBER($D380)),"Last service isn't a date. ",IF(OR($D380&lt;18264,$D380&lt;&gt;INT($D380)),"Last service isn't a valid date. ",IF($D380&gt;AsOf,"Last service is after the as-of date. ",""))))&amp;IF($E380="","Interval missing.",IF(NOT(ISNUMBER($E380)),"Interval must be a number.",IF($E380&lt;&gt;INT($E380),"Interval must be whole months.",IF(OR($E380&lt;1,$E380&gt;240),"Interval must be 1-240 months.",""))))))</f>
        <v/>
      </c>
      <c r="J380" s="17" t="str">
        <f aca="false">IF(AND($A380="",$B380="",$C380="",$D380="",$E380=""),"",IF('Due List'!$B$4="Check details",IF($G380="Check details",ROW(),""),IF('Due List'!$B$4="All records",IF($G380="Check details",ROW()/100000,$F380+ROW()/100000),IF(OR($G380="Overdue",$G380="Due today",$G380="Due in next 30 days"),$F380+ROW()/100000,""))))</f>
        <v/>
      </c>
    </row>
    <row r="381" customFormat="false" ht="15" hidden="false" customHeight="false" outlineLevel="0" collapsed="false">
      <c r="A381" s="11"/>
      <c r="B381" s="11"/>
      <c r="C381" s="11"/>
      <c r="D381" s="12"/>
      <c r="E381" s="13"/>
      <c r="F381" s="14" t="str">
        <f aca="false">IF(OR(AND($A381="",$B381="",$C381="",$D381="",$E381=""),$I381&lt;&gt;""),"",EDATE($D381,$E381))</f>
        <v/>
      </c>
      <c r="G381" s="6" t="str">
        <f aca="false">IF(AND($A381="",$B381="",$C381="",$D381="",$E381=""),"",IF($I381&lt;&gt;"","Check details",IF($F381&lt;AsOf,"Overdue",IF($F381=AsOf,"Due today",IF($F381&lt;=AsOf+30,"Due in next 30 days","Later")))))</f>
        <v/>
      </c>
      <c r="H381" s="15" t="str">
        <f aca="false">IF($F381="","",$F381-AsOf)</f>
        <v/>
      </c>
      <c r="I381" s="16" t="str">
        <f aca="false">IF(AND($A381="",$B381="",$C381="",$D381="",$E381=""),"",TRIM(IF($A381="","Name missing. ","")&amp;IF($B381="","Site missing. ","")&amp;IF($D381="","Last service missing. ",IF(NOT(ISNUMBER($D381)),"Last service isn't a date. ",IF(OR($D381&lt;18264,$D381&lt;&gt;INT($D381)),"Last service isn't a valid date. ",IF($D381&gt;AsOf,"Last service is after the as-of date. ",""))))&amp;IF($E381="","Interval missing.",IF(NOT(ISNUMBER($E381)),"Interval must be a number.",IF($E381&lt;&gt;INT($E381),"Interval must be whole months.",IF(OR($E381&lt;1,$E381&gt;240),"Interval must be 1-240 months.",""))))))</f>
        <v/>
      </c>
      <c r="J381" s="17" t="str">
        <f aca="false">IF(AND($A381="",$B381="",$C381="",$D381="",$E381=""),"",IF('Due List'!$B$4="Check details",IF($G381="Check details",ROW(),""),IF('Due List'!$B$4="All records",IF($G381="Check details",ROW()/100000,$F381+ROW()/100000),IF(OR($G381="Overdue",$G381="Due today",$G381="Due in next 30 days"),$F381+ROW()/100000,""))))</f>
        <v/>
      </c>
    </row>
    <row r="382" customFormat="false" ht="15" hidden="false" customHeight="false" outlineLevel="0" collapsed="false">
      <c r="A382" s="11"/>
      <c r="B382" s="11"/>
      <c r="C382" s="11"/>
      <c r="D382" s="12"/>
      <c r="E382" s="13"/>
      <c r="F382" s="14" t="str">
        <f aca="false">IF(OR(AND($A382="",$B382="",$C382="",$D382="",$E382=""),$I382&lt;&gt;""),"",EDATE($D382,$E382))</f>
        <v/>
      </c>
      <c r="G382" s="6" t="str">
        <f aca="false">IF(AND($A382="",$B382="",$C382="",$D382="",$E382=""),"",IF($I382&lt;&gt;"","Check details",IF($F382&lt;AsOf,"Overdue",IF($F382=AsOf,"Due today",IF($F382&lt;=AsOf+30,"Due in next 30 days","Later")))))</f>
        <v/>
      </c>
      <c r="H382" s="15" t="str">
        <f aca="false">IF($F382="","",$F382-AsOf)</f>
        <v/>
      </c>
      <c r="I382" s="16" t="str">
        <f aca="false">IF(AND($A382="",$B382="",$C382="",$D382="",$E382=""),"",TRIM(IF($A382="","Name missing. ","")&amp;IF($B382="","Site missing. ","")&amp;IF($D382="","Last service missing. ",IF(NOT(ISNUMBER($D382)),"Last service isn't a date. ",IF(OR($D382&lt;18264,$D382&lt;&gt;INT($D382)),"Last service isn't a valid date. ",IF($D382&gt;AsOf,"Last service is after the as-of date. ",""))))&amp;IF($E382="","Interval missing.",IF(NOT(ISNUMBER($E382)),"Interval must be a number.",IF($E382&lt;&gt;INT($E382),"Interval must be whole months.",IF(OR($E382&lt;1,$E382&gt;240),"Interval must be 1-240 months.",""))))))</f>
        <v/>
      </c>
      <c r="J382" s="17" t="str">
        <f aca="false">IF(AND($A382="",$B382="",$C382="",$D382="",$E382=""),"",IF('Due List'!$B$4="Check details",IF($G382="Check details",ROW(),""),IF('Due List'!$B$4="All records",IF($G382="Check details",ROW()/100000,$F382+ROW()/100000),IF(OR($G382="Overdue",$G382="Due today",$G382="Due in next 30 days"),$F382+ROW()/100000,""))))</f>
        <v/>
      </c>
    </row>
    <row r="383" customFormat="false" ht="15" hidden="false" customHeight="false" outlineLevel="0" collapsed="false">
      <c r="A383" s="11"/>
      <c r="B383" s="11"/>
      <c r="C383" s="11"/>
      <c r="D383" s="12"/>
      <c r="E383" s="13"/>
      <c r="F383" s="14" t="str">
        <f aca="false">IF(OR(AND($A383="",$B383="",$C383="",$D383="",$E383=""),$I383&lt;&gt;""),"",EDATE($D383,$E383))</f>
        <v/>
      </c>
      <c r="G383" s="6" t="str">
        <f aca="false">IF(AND($A383="",$B383="",$C383="",$D383="",$E383=""),"",IF($I383&lt;&gt;"","Check details",IF($F383&lt;AsOf,"Overdue",IF($F383=AsOf,"Due today",IF($F383&lt;=AsOf+30,"Due in next 30 days","Later")))))</f>
        <v/>
      </c>
      <c r="H383" s="15" t="str">
        <f aca="false">IF($F383="","",$F383-AsOf)</f>
        <v/>
      </c>
      <c r="I383" s="16" t="str">
        <f aca="false">IF(AND($A383="",$B383="",$C383="",$D383="",$E383=""),"",TRIM(IF($A383="","Name missing. ","")&amp;IF($B383="","Site missing. ","")&amp;IF($D383="","Last service missing. ",IF(NOT(ISNUMBER($D383)),"Last service isn't a date. ",IF(OR($D383&lt;18264,$D383&lt;&gt;INT($D383)),"Last service isn't a valid date. ",IF($D383&gt;AsOf,"Last service is after the as-of date. ",""))))&amp;IF($E383="","Interval missing.",IF(NOT(ISNUMBER($E383)),"Interval must be a number.",IF($E383&lt;&gt;INT($E383),"Interval must be whole months.",IF(OR($E383&lt;1,$E383&gt;240),"Interval must be 1-240 months.",""))))))</f>
        <v/>
      </c>
      <c r="J383" s="17" t="str">
        <f aca="false">IF(AND($A383="",$B383="",$C383="",$D383="",$E383=""),"",IF('Due List'!$B$4="Check details",IF($G383="Check details",ROW(),""),IF('Due List'!$B$4="All records",IF($G383="Check details",ROW()/100000,$F383+ROW()/100000),IF(OR($G383="Overdue",$G383="Due today",$G383="Due in next 30 days"),$F383+ROW()/100000,""))))</f>
        <v/>
      </c>
    </row>
    <row r="384" customFormat="false" ht="15" hidden="false" customHeight="false" outlineLevel="0" collapsed="false">
      <c r="A384" s="11"/>
      <c r="B384" s="11"/>
      <c r="C384" s="11"/>
      <c r="D384" s="12"/>
      <c r="E384" s="13"/>
      <c r="F384" s="14" t="str">
        <f aca="false">IF(OR(AND($A384="",$B384="",$C384="",$D384="",$E384=""),$I384&lt;&gt;""),"",EDATE($D384,$E384))</f>
        <v/>
      </c>
      <c r="G384" s="6" t="str">
        <f aca="false">IF(AND($A384="",$B384="",$C384="",$D384="",$E384=""),"",IF($I384&lt;&gt;"","Check details",IF($F384&lt;AsOf,"Overdue",IF($F384=AsOf,"Due today",IF($F384&lt;=AsOf+30,"Due in next 30 days","Later")))))</f>
        <v/>
      </c>
      <c r="H384" s="15" t="str">
        <f aca="false">IF($F384="","",$F384-AsOf)</f>
        <v/>
      </c>
      <c r="I384" s="16" t="str">
        <f aca="false">IF(AND($A384="",$B384="",$C384="",$D384="",$E384=""),"",TRIM(IF($A384="","Name missing. ","")&amp;IF($B384="","Site missing. ","")&amp;IF($D384="","Last service missing. ",IF(NOT(ISNUMBER($D384)),"Last service isn't a date. ",IF(OR($D384&lt;18264,$D384&lt;&gt;INT($D384)),"Last service isn't a valid date. ",IF($D384&gt;AsOf,"Last service is after the as-of date. ",""))))&amp;IF($E384="","Interval missing.",IF(NOT(ISNUMBER($E384)),"Interval must be a number.",IF($E384&lt;&gt;INT($E384),"Interval must be whole months.",IF(OR($E384&lt;1,$E384&gt;240),"Interval must be 1-240 months.",""))))))</f>
        <v/>
      </c>
      <c r="J384" s="17" t="str">
        <f aca="false">IF(AND($A384="",$B384="",$C384="",$D384="",$E384=""),"",IF('Due List'!$B$4="Check details",IF($G384="Check details",ROW(),""),IF('Due List'!$B$4="All records",IF($G384="Check details",ROW()/100000,$F384+ROW()/100000),IF(OR($G384="Overdue",$G384="Due today",$G384="Due in next 30 days"),$F384+ROW()/100000,""))))</f>
        <v/>
      </c>
    </row>
    <row r="385" customFormat="false" ht="15" hidden="false" customHeight="false" outlineLevel="0" collapsed="false">
      <c r="A385" s="11"/>
      <c r="B385" s="11"/>
      <c r="C385" s="11"/>
      <c r="D385" s="12"/>
      <c r="E385" s="13"/>
      <c r="F385" s="14" t="str">
        <f aca="false">IF(OR(AND($A385="",$B385="",$C385="",$D385="",$E385=""),$I385&lt;&gt;""),"",EDATE($D385,$E385))</f>
        <v/>
      </c>
      <c r="G385" s="6" t="str">
        <f aca="false">IF(AND($A385="",$B385="",$C385="",$D385="",$E385=""),"",IF($I385&lt;&gt;"","Check details",IF($F385&lt;AsOf,"Overdue",IF($F385=AsOf,"Due today",IF($F385&lt;=AsOf+30,"Due in next 30 days","Later")))))</f>
        <v/>
      </c>
      <c r="H385" s="15" t="str">
        <f aca="false">IF($F385="","",$F385-AsOf)</f>
        <v/>
      </c>
      <c r="I385" s="16" t="str">
        <f aca="false">IF(AND($A385="",$B385="",$C385="",$D385="",$E385=""),"",TRIM(IF($A385="","Name missing. ","")&amp;IF($B385="","Site missing. ","")&amp;IF($D385="","Last service missing. ",IF(NOT(ISNUMBER($D385)),"Last service isn't a date. ",IF(OR($D385&lt;18264,$D385&lt;&gt;INT($D385)),"Last service isn't a valid date. ",IF($D385&gt;AsOf,"Last service is after the as-of date. ",""))))&amp;IF($E385="","Interval missing.",IF(NOT(ISNUMBER($E385)),"Interval must be a number.",IF($E385&lt;&gt;INT($E385),"Interval must be whole months.",IF(OR($E385&lt;1,$E385&gt;240),"Interval must be 1-240 months.",""))))))</f>
        <v/>
      </c>
      <c r="J385" s="17" t="str">
        <f aca="false">IF(AND($A385="",$B385="",$C385="",$D385="",$E385=""),"",IF('Due List'!$B$4="Check details",IF($G385="Check details",ROW(),""),IF('Due List'!$B$4="All records",IF($G385="Check details",ROW()/100000,$F385+ROW()/100000),IF(OR($G385="Overdue",$G385="Due today",$G385="Due in next 30 days"),$F385+ROW()/100000,""))))</f>
        <v/>
      </c>
    </row>
    <row r="386" customFormat="false" ht="15" hidden="false" customHeight="false" outlineLevel="0" collapsed="false">
      <c r="A386" s="11"/>
      <c r="B386" s="11"/>
      <c r="C386" s="11"/>
      <c r="D386" s="12"/>
      <c r="E386" s="13"/>
      <c r="F386" s="14" t="str">
        <f aca="false">IF(OR(AND($A386="",$B386="",$C386="",$D386="",$E386=""),$I386&lt;&gt;""),"",EDATE($D386,$E386))</f>
        <v/>
      </c>
      <c r="G386" s="6" t="str">
        <f aca="false">IF(AND($A386="",$B386="",$C386="",$D386="",$E386=""),"",IF($I386&lt;&gt;"","Check details",IF($F386&lt;AsOf,"Overdue",IF($F386=AsOf,"Due today",IF($F386&lt;=AsOf+30,"Due in next 30 days","Later")))))</f>
        <v/>
      </c>
      <c r="H386" s="15" t="str">
        <f aca="false">IF($F386="","",$F386-AsOf)</f>
        <v/>
      </c>
      <c r="I386" s="16" t="str">
        <f aca="false">IF(AND($A386="",$B386="",$C386="",$D386="",$E386=""),"",TRIM(IF($A386="","Name missing. ","")&amp;IF($B386="","Site missing. ","")&amp;IF($D386="","Last service missing. ",IF(NOT(ISNUMBER($D386)),"Last service isn't a date. ",IF(OR($D386&lt;18264,$D386&lt;&gt;INT($D386)),"Last service isn't a valid date. ",IF($D386&gt;AsOf,"Last service is after the as-of date. ",""))))&amp;IF($E386="","Interval missing.",IF(NOT(ISNUMBER($E386)),"Interval must be a number.",IF($E386&lt;&gt;INT($E386),"Interval must be whole months.",IF(OR($E386&lt;1,$E386&gt;240),"Interval must be 1-240 months.",""))))))</f>
        <v/>
      </c>
      <c r="J386" s="17" t="str">
        <f aca="false">IF(AND($A386="",$B386="",$C386="",$D386="",$E386=""),"",IF('Due List'!$B$4="Check details",IF($G386="Check details",ROW(),""),IF('Due List'!$B$4="All records",IF($G386="Check details",ROW()/100000,$F386+ROW()/100000),IF(OR($G386="Overdue",$G386="Due today",$G386="Due in next 30 days"),$F386+ROW()/100000,""))))</f>
        <v/>
      </c>
    </row>
    <row r="387" customFormat="false" ht="15" hidden="false" customHeight="false" outlineLevel="0" collapsed="false">
      <c r="A387" s="11"/>
      <c r="B387" s="11"/>
      <c r="C387" s="11"/>
      <c r="D387" s="12"/>
      <c r="E387" s="13"/>
      <c r="F387" s="14" t="str">
        <f aca="false">IF(OR(AND($A387="",$B387="",$C387="",$D387="",$E387=""),$I387&lt;&gt;""),"",EDATE($D387,$E387))</f>
        <v/>
      </c>
      <c r="G387" s="6" t="str">
        <f aca="false">IF(AND($A387="",$B387="",$C387="",$D387="",$E387=""),"",IF($I387&lt;&gt;"","Check details",IF($F387&lt;AsOf,"Overdue",IF($F387=AsOf,"Due today",IF($F387&lt;=AsOf+30,"Due in next 30 days","Later")))))</f>
        <v/>
      </c>
      <c r="H387" s="15" t="str">
        <f aca="false">IF($F387="","",$F387-AsOf)</f>
        <v/>
      </c>
      <c r="I387" s="16" t="str">
        <f aca="false">IF(AND($A387="",$B387="",$C387="",$D387="",$E387=""),"",TRIM(IF($A387="","Name missing. ","")&amp;IF($B387="","Site missing. ","")&amp;IF($D387="","Last service missing. ",IF(NOT(ISNUMBER($D387)),"Last service isn't a date. ",IF(OR($D387&lt;18264,$D387&lt;&gt;INT($D387)),"Last service isn't a valid date. ",IF($D387&gt;AsOf,"Last service is after the as-of date. ",""))))&amp;IF($E387="","Interval missing.",IF(NOT(ISNUMBER($E387)),"Interval must be a number.",IF($E387&lt;&gt;INT($E387),"Interval must be whole months.",IF(OR($E387&lt;1,$E387&gt;240),"Interval must be 1-240 months.",""))))))</f>
        <v/>
      </c>
      <c r="J387" s="17" t="str">
        <f aca="false">IF(AND($A387="",$B387="",$C387="",$D387="",$E387=""),"",IF('Due List'!$B$4="Check details",IF($G387="Check details",ROW(),""),IF('Due List'!$B$4="All records",IF($G387="Check details",ROW()/100000,$F387+ROW()/100000),IF(OR($G387="Overdue",$G387="Due today",$G387="Due in next 30 days"),$F387+ROW()/100000,""))))</f>
        <v/>
      </c>
    </row>
    <row r="388" customFormat="false" ht="15" hidden="false" customHeight="false" outlineLevel="0" collapsed="false">
      <c r="A388" s="11"/>
      <c r="B388" s="11"/>
      <c r="C388" s="11"/>
      <c r="D388" s="12"/>
      <c r="E388" s="13"/>
      <c r="F388" s="14" t="str">
        <f aca="false">IF(OR(AND($A388="",$B388="",$C388="",$D388="",$E388=""),$I388&lt;&gt;""),"",EDATE($D388,$E388))</f>
        <v/>
      </c>
      <c r="G388" s="6" t="str">
        <f aca="false">IF(AND($A388="",$B388="",$C388="",$D388="",$E388=""),"",IF($I388&lt;&gt;"","Check details",IF($F388&lt;AsOf,"Overdue",IF($F388=AsOf,"Due today",IF($F388&lt;=AsOf+30,"Due in next 30 days","Later")))))</f>
        <v/>
      </c>
      <c r="H388" s="15" t="str">
        <f aca="false">IF($F388="","",$F388-AsOf)</f>
        <v/>
      </c>
      <c r="I388" s="16" t="str">
        <f aca="false">IF(AND($A388="",$B388="",$C388="",$D388="",$E388=""),"",TRIM(IF($A388="","Name missing. ","")&amp;IF($B388="","Site missing. ","")&amp;IF($D388="","Last service missing. ",IF(NOT(ISNUMBER($D388)),"Last service isn't a date. ",IF(OR($D388&lt;18264,$D388&lt;&gt;INT($D388)),"Last service isn't a valid date. ",IF($D388&gt;AsOf,"Last service is after the as-of date. ",""))))&amp;IF($E388="","Interval missing.",IF(NOT(ISNUMBER($E388)),"Interval must be a number.",IF($E388&lt;&gt;INT($E388),"Interval must be whole months.",IF(OR($E388&lt;1,$E388&gt;240),"Interval must be 1-240 months.",""))))))</f>
        <v/>
      </c>
      <c r="J388" s="17" t="str">
        <f aca="false">IF(AND($A388="",$B388="",$C388="",$D388="",$E388=""),"",IF('Due List'!$B$4="Check details",IF($G388="Check details",ROW(),""),IF('Due List'!$B$4="All records",IF($G388="Check details",ROW()/100000,$F388+ROW()/100000),IF(OR($G388="Overdue",$G388="Due today",$G388="Due in next 30 days"),$F388+ROW()/100000,""))))</f>
        <v/>
      </c>
    </row>
    <row r="389" customFormat="false" ht="15" hidden="false" customHeight="false" outlineLevel="0" collapsed="false">
      <c r="A389" s="11"/>
      <c r="B389" s="11"/>
      <c r="C389" s="11"/>
      <c r="D389" s="12"/>
      <c r="E389" s="13"/>
      <c r="F389" s="14" t="str">
        <f aca="false">IF(OR(AND($A389="",$B389="",$C389="",$D389="",$E389=""),$I389&lt;&gt;""),"",EDATE($D389,$E389))</f>
        <v/>
      </c>
      <c r="G389" s="6" t="str">
        <f aca="false">IF(AND($A389="",$B389="",$C389="",$D389="",$E389=""),"",IF($I389&lt;&gt;"","Check details",IF($F389&lt;AsOf,"Overdue",IF($F389=AsOf,"Due today",IF($F389&lt;=AsOf+30,"Due in next 30 days","Later")))))</f>
        <v/>
      </c>
      <c r="H389" s="15" t="str">
        <f aca="false">IF($F389="","",$F389-AsOf)</f>
        <v/>
      </c>
      <c r="I389" s="16" t="str">
        <f aca="false">IF(AND($A389="",$B389="",$C389="",$D389="",$E389=""),"",TRIM(IF($A389="","Name missing. ","")&amp;IF($B389="","Site missing. ","")&amp;IF($D389="","Last service missing. ",IF(NOT(ISNUMBER($D389)),"Last service isn't a date. ",IF(OR($D389&lt;18264,$D389&lt;&gt;INT($D389)),"Last service isn't a valid date. ",IF($D389&gt;AsOf,"Last service is after the as-of date. ",""))))&amp;IF($E389="","Interval missing.",IF(NOT(ISNUMBER($E389)),"Interval must be a number.",IF($E389&lt;&gt;INT($E389),"Interval must be whole months.",IF(OR($E389&lt;1,$E389&gt;240),"Interval must be 1-240 months.",""))))))</f>
        <v/>
      </c>
      <c r="J389" s="17" t="str">
        <f aca="false">IF(AND($A389="",$B389="",$C389="",$D389="",$E389=""),"",IF('Due List'!$B$4="Check details",IF($G389="Check details",ROW(),""),IF('Due List'!$B$4="All records",IF($G389="Check details",ROW()/100000,$F389+ROW()/100000),IF(OR($G389="Overdue",$G389="Due today",$G389="Due in next 30 days"),$F389+ROW()/100000,""))))</f>
        <v/>
      </c>
    </row>
    <row r="390" customFormat="false" ht="15" hidden="false" customHeight="false" outlineLevel="0" collapsed="false">
      <c r="A390" s="11"/>
      <c r="B390" s="11"/>
      <c r="C390" s="11"/>
      <c r="D390" s="12"/>
      <c r="E390" s="13"/>
      <c r="F390" s="14" t="str">
        <f aca="false">IF(OR(AND($A390="",$B390="",$C390="",$D390="",$E390=""),$I390&lt;&gt;""),"",EDATE($D390,$E390))</f>
        <v/>
      </c>
      <c r="G390" s="6" t="str">
        <f aca="false">IF(AND($A390="",$B390="",$C390="",$D390="",$E390=""),"",IF($I390&lt;&gt;"","Check details",IF($F390&lt;AsOf,"Overdue",IF($F390=AsOf,"Due today",IF($F390&lt;=AsOf+30,"Due in next 30 days","Later")))))</f>
        <v/>
      </c>
      <c r="H390" s="15" t="str">
        <f aca="false">IF($F390="","",$F390-AsOf)</f>
        <v/>
      </c>
      <c r="I390" s="16" t="str">
        <f aca="false">IF(AND($A390="",$B390="",$C390="",$D390="",$E390=""),"",TRIM(IF($A390="","Name missing. ","")&amp;IF($B390="","Site missing. ","")&amp;IF($D390="","Last service missing. ",IF(NOT(ISNUMBER($D390)),"Last service isn't a date. ",IF(OR($D390&lt;18264,$D390&lt;&gt;INT($D390)),"Last service isn't a valid date. ",IF($D390&gt;AsOf,"Last service is after the as-of date. ",""))))&amp;IF($E390="","Interval missing.",IF(NOT(ISNUMBER($E390)),"Interval must be a number.",IF($E390&lt;&gt;INT($E390),"Interval must be whole months.",IF(OR($E390&lt;1,$E390&gt;240),"Interval must be 1-240 months.",""))))))</f>
        <v/>
      </c>
      <c r="J390" s="17" t="str">
        <f aca="false">IF(AND($A390="",$B390="",$C390="",$D390="",$E390=""),"",IF('Due List'!$B$4="Check details",IF($G390="Check details",ROW(),""),IF('Due List'!$B$4="All records",IF($G390="Check details",ROW()/100000,$F390+ROW()/100000),IF(OR($G390="Overdue",$G390="Due today",$G390="Due in next 30 days"),$F390+ROW()/100000,""))))</f>
        <v/>
      </c>
    </row>
    <row r="391" customFormat="false" ht="15" hidden="false" customHeight="false" outlineLevel="0" collapsed="false">
      <c r="A391" s="11"/>
      <c r="B391" s="11"/>
      <c r="C391" s="11"/>
      <c r="D391" s="12"/>
      <c r="E391" s="13"/>
      <c r="F391" s="14" t="str">
        <f aca="false">IF(OR(AND($A391="",$B391="",$C391="",$D391="",$E391=""),$I391&lt;&gt;""),"",EDATE($D391,$E391))</f>
        <v/>
      </c>
      <c r="G391" s="6" t="str">
        <f aca="false">IF(AND($A391="",$B391="",$C391="",$D391="",$E391=""),"",IF($I391&lt;&gt;"","Check details",IF($F391&lt;AsOf,"Overdue",IF($F391=AsOf,"Due today",IF($F391&lt;=AsOf+30,"Due in next 30 days","Later")))))</f>
        <v/>
      </c>
      <c r="H391" s="15" t="str">
        <f aca="false">IF($F391="","",$F391-AsOf)</f>
        <v/>
      </c>
      <c r="I391" s="16" t="str">
        <f aca="false">IF(AND($A391="",$B391="",$C391="",$D391="",$E391=""),"",TRIM(IF($A391="","Name missing. ","")&amp;IF($B391="","Site missing. ","")&amp;IF($D391="","Last service missing. ",IF(NOT(ISNUMBER($D391)),"Last service isn't a date. ",IF(OR($D391&lt;18264,$D391&lt;&gt;INT($D391)),"Last service isn't a valid date. ",IF($D391&gt;AsOf,"Last service is after the as-of date. ",""))))&amp;IF($E391="","Interval missing.",IF(NOT(ISNUMBER($E391)),"Interval must be a number.",IF($E391&lt;&gt;INT($E391),"Interval must be whole months.",IF(OR($E391&lt;1,$E391&gt;240),"Interval must be 1-240 months.",""))))))</f>
        <v/>
      </c>
      <c r="J391" s="17" t="str">
        <f aca="false">IF(AND($A391="",$B391="",$C391="",$D391="",$E391=""),"",IF('Due List'!$B$4="Check details",IF($G391="Check details",ROW(),""),IF('Due List'!$B$4="All records",IF($G391="Check details",ROW()/100000,$F391+ROW()/100000),IF(OR($G391="Overdue",$G391="Due today",$G391="Due in next 30 days"),$F391+ROW()/100000,""))))</f>
        <v/>
      </c>
    </row>
    <row r="392" customFormat="false" ht="15" hidden="false" customHeight="false" outlineLevel="0" collapsed="false">
      <c r="A392" s="11"/>
      <c r="B392" s="11"/>
      <c r="C392" s="11"/>
      <c r="D392" s="12"/>
      <c r="E392" s="13"/>
      <c r="F392" s="14" t="str">
        <f aca="false">IF(OR(AND($A392="",$B392="",$C392="",$D392="",$E392=""),$I392&lt;&gt;""),"",EDATE($D392,$E392))</f>
        <v/>
      </c>
      <c r="G392" s="6" t="str">
        <f aca="false">IF(AND($A392="",$B392="",$C392="",$D392="",$E392=""),"",IF($I392&lt;&gt;"","Check details",IF($F392&lt;AsOf,"Overdue",IF($F392=AsOf,"Due today",IF($F392&lt;=AsOf+30,"Due in next 30 days","Later")))))</f>
        <v/>
      </c>
      <c r="H392" s="15" t="str">
        <f aca="false">IF($F392="","",$F392-AsOf)</f>
        <v/>
      </c>
      <c r="I392" s="16" t="str">
        <f aca="false">IF(AND($A392="",$B392="",$C392="",$D392="",$E392=""),"",TRIM(IF($A392="","Name missing. ","")&amp;IF($B392="","Site missing. ","")&amp;IF($D392="","Last service missing. ",IF(NOT(ISNUMBER($D392)),"Last service isn't a date. ",IF(OR($D392&lt;18264,$D392&lt;&gt;INT($D392)),"Last service isn't a valid date. ",IF($D392&gt;AsOf,"Last service is after the as-of date. ",""))))&amp;IF($E392="","Interval missing.",IF(NOT(ISNUMBER($E392)),"Interval must be a number.",IF($E392&lt;&gt;INT($E392),"Interval must be whole months.",IF(OR($E392&lt;1,$E392&gt;240),"Interval must be 1-240 months.",""))))))</f>
        <v/>
      </c>
      <c r="J392" s="17" t="str">
        <f aca="false">IF(AND($A392="",$B392="",$C392="",$D392="",$E392=""),"",IF('Due List'!$B$4="Check details",IF($G392="Check details",ROW(),""),IF('Due List'!$B$4="All records",IF($G392="Check details",ROW()/100000,$F392+ROW()/100000),IF(OR($G392="Overdue",$G392="Due today",$G392="Due in next 30 days"),$F392+ROW()/100000,""))))</f>
        <v/>
      </c>
    </row>
    <row r="393" customFormat="false" ht="15" hidden="false" customHeight="false" outlineLevel="0" collapsed="false">
      <c r="A393" s="11"/>
      <c r="B393" s="11"/>
      <c r="C393" s="11"/>
      <c r="D393" s="12"/>
      <c r="E393" s="13"/>
      <c r="F393" s="14" t="str">
        <f aca="false">IF(OR(AND($A393="",$B393="",$C393="",$D393="",$E393=""),$I393&lt;&gt;""),"",EDATE($D393,$E393))</f>
        <v/>
      </c>
      <c r="G393" s="6" t="str">
        <f aca="false">IF(AND($A393="",$B393="",$C393="",$D393="",$E393=""),"",IF($I393&lt;&gt;"","Check details",IF($F393&lt;AsOf,"Overdue",IF($F393=AsOf,"Due today",IF($F393&lt;=AsOf+30,"Due in next 30 days","Later")))))</f>
        <v/>
      </c>
      <c r="H393" s="15" t="str">
        <f aca="false">IF($F393="","",$F393-AsOf)</f>
        <v/>
      </c>
      <c r="I393" s="16" t="str">
        <f aca="false">IF(AND($A393="",$B393="",$C393="",$D393="",$E393=""),"",TRIM(IF($A393="","Name missing. ","")&amp;IF($B393="","Site missing. ","")&amp;IF($D393="","Last service missing. ",IF(NOT(ISNUMBER($D393)),"Last service isn't a date. ",IF(OR($D393&lt;18264,$D393&lt;&gt;INT($D393)),"Last service isn't a valid date. ",IF($D393&gt;AsOf,"Last service is after the as-of date. ",""))))&amp;IF($E393="","Interval missing.",IF(NOT(ISNUMBER($E393)),"Interval must be a number.",IF($E393&lt;&gt;INT($E393),"Interval must be whole months.",IF(OR($E393&lt;1,$E393&gt;240),"Interval must be 1-240 months.",""))))))</f>
        <v/>
      </c>
      <c r="J393" s="17" t="str">
        <f aca="false">IF(AND($A393="",$B393="",$C393="",$D393="",$E393=""),"",IF('Due List'!$B$4="Check details",IF($G393="Check details",ROW(),""),IF('Due List'!$B$4="All records",IF($G393="Check details",ROW()/100000,$F393+ROW()/100000),IF(OR($G393="Overdue",$G393="Due today",$G393="Due in next 30 days"),$F393+ROW()/100000,""))))</f>
        <v/>
      </c>
    </row>
    <row r="394" customFormat="false" ht="15" hidden="false" customHeight="false" outlineLevel="0" collapsed="false">
      <c r="A394" s="11"/>
      <c r="B394" s="11"/>
      <c r="C394" s="11"/>
      <c r="D394" s="12"/>
      <c r="E394" s="13"/>
      <c r="F394" s="14" t="str">
        <f aca="false">IF(OR(AND($A394="",$B394="",$C394="",$D394="",$E394=""),$I394&lt;&gt;""),"",EDATE($D394,$E394))</f>
        <v/>
      </c>
      <c r="G394" s="6" t="str">
        <f aca="false">IF(AND($A394="",$B394="",$C394="",$D394="",$E394=""),"",IF($I394&lt;&gt;"","Check details",IF($F394&lt;AsOf,"Overdue",IF($F394=AsOf,"Due today",IF($F394&lt;=AsOf+30,"Due in next 30 days","Later")))))</f>
        <v/>
      </c>
      <c r="H394" s="15" t="str">
        <f aca="false">IF($F394="","",$F394-AsOf)</f>
        <v/>
      </c>
      <c r="I394" s="16" t="str">
        <f aca="false">IF(AND($A394="",$B394="",$C394="",$D394="",$E394=""),"",TRIM(IF($A394="","Name missing. ","")&amp;IF($B394="","Site missing. ","")&amp;IF($D394="","Last service missing. ",IF(NOT(ISNUMBER($D394)),"Last service isn't a date. ",IF(OR($D394&lt;18264,$D394&lt;&gt;INT($D394)),"Last service isn't a valid date. ",IF($D394&gt;AsOf,"Last service is after the as-of date. ",""))))&amp;IF($E394="","Interval missing.",IF(NOT(ISNUMBER($E394)),"Interval must be a number.",IF($E394&lt;&gt;INT($E394),"Interval must be whole months.",IF(OR($E394&lt;1,$E394&gt;240),"Interval must be 1-240 months.",""))))))</f>
        <v/>
      </c>
      <c r="J394" s="17" t="str">
        <f aca="false">IF(AND($A394="",$B394="",$C394="",$D394="",$E394=""),"",IF('Due List'!$B$4="Check details",IF($G394="Check details",ROW(),""),IF('Due List'!$B$4="All records",IF($G394="Check details",ROW()/100000,$F394+ROW()/100000),IF(OR($G394="Overdue",$G394="Due today",$G394="Due in next 30 days"),$F394+ROW()/100000,""))))</f>
        <v/>
      </c>
    </row>
    <row r="395" customFormat="false" ht="15" hidden="false" customHeight="false" outlineLevel="0" collapsed="false">
      <c r="A395" s="11"/>
      <c r="B395" s="11"/>
      <c r="C395" s="11"/>
      <c r="D395" s="12"/>
      <c r="E395" s="13"/>
      <c r="F395" s="14" t="str">
        <f aca="false">IF(OR(AND($A395="",$B395="",$C395="",$D395="",$E395=""),$I395&lt;&gt;""),"",EDATE($D395,$E395))</f>
        <v/>
      </c>
      <c r="G395" s="6" t="str">
        <f aca="false">IF(AND($A395="",$B395="",$C395="",$D395="",$E395=""),"",IF($I395&lt;&gt;"","Check details",IF($F395&lt;AsOf,"Overdue",IF($F395=AsOf,"Due today",IF($F395&lt;=AsOf+30,"Due in next 30 days","Later")))))</f>
        <v/>
      </c>
      <c r="H395" s="15" t="str">
        <f aca="false">IF($F395="","",$F395-AsOf)</f>
        <v/>
      </c>
      <c r="I395" s="16" t="str">
        <f aca="false">IF(AND($A395="",$B395="",$C395="",$D395="",$E395=""),"",TRIM(IF($A395="","Name missing. ","")&amp;IF($B395="","Site missing. ","")&amp;IF($D395="","Last service missing. ",IF(NOT(ISNUMBER($D395)),"Last service isn't a date. ",IF(OR($D395&lt;18264,$D395&lt;&gt;INT($D395)),"Last service isn't a valid date. ",IF($D395&gt;AsOf,"Last service is after the as-of date. ",""))))&amp;IF($E395="","Interval missing.",IF(NOT(ISNUMBER($E395)),"Interval must be a number.",IF($E395&lt;&gt;INT($E395),"Interval must be whole months.",IF(OR($E395&lt;1,$E395&gt;240),"Interval must be 1-240 months.",""))))))</f>
        <v/>
      </c>
      <c r="J395" s="17" t="str">
        <f aca="false">IF(AND($A395="",$B395="",$C395="",$D395="",$E395=""),"",IF('Due List'!$B$4="Check details",IF($G395="Check details",ROW(),""),IF('Due List'!$B$4="All records",IF($G395="Check details",ROW()/100000,$F395+ROW()/100000),IF(OR($G395="Overdue",$G395="Due today",$G395="Due in next 30 days"),$F395+ROW()/100000,""))))</f>
        <v/>
      </c>
    </row>
    <row r="396" customFormat="false" ht="15" hidden="false" customHeight="false" outlineLevel="0" collapsed="false">
      <c r="A396" s="11"/>
      <c r="B396" s="11"/>
      <c r="C396" s="11"/>
      <c r="D396" s="12"/>
      <c r="E396" s="13"/>
      <c r="F396" s="14" t="str">
        <f aca="false">IF(OR(AND($A396="",$B396="",$C396="",$D396="",$E396=""),$I396&lt;&gt;""),"",EDATE($D396,$E396))</f>
        <v/>
      </c>
      <c r="G396" s="6" t="str">
        <f aca="false">IF(AND($A396="",$B396="",$C396="",$D396="",$E396=""),"",IF($I396&lt;&gt;"","Check details",IF($F396&lt;AsOf,"Overdue",IF($F396=AsOf,"Due today",IF($F396&lt;=AsOf+30,"Due in next 30 days","Later")))))</f>
        <v/>
      </c>
      <c r="H396" s="15" t="str">
        <f aca="false">IF($F396="","",$F396-AsOf)</f>
        <v/>
      </c>
      <c r="I396" s="16" t="str">
        <f aca="false">IF(AND($A396="",$B396="",$C396="",$D396="",$E396=""),"",TRIM(IF($A396="","Name missing. ","")&amp;IF($B396="","Site missing. ","")&amp;IF($D396="","Last service missing. ",IF(NOT(ISNUMBER($D396)),"Last service isn't a date. ",IF(OR($D396&lt;18264,$D396&lt;&gt;INT($D396)),"Last service isn't a valid date. ",IF($D396&gt;AsOf,"Last service is after the as-of date. ",""))))&amp;IF($E396="","Interval missing.",IF(NOT(ISNUMBER($E396)),"Interval must be a number.",IF($E396&lt;&gt;INT($E396),"Interval must be whole months.",IF(OR($E396&lt;1,$E396&gt;240),"Interval must be 1-240 months.",""))))))</f>
        <v/>
      </c>
      <c r="J396" s="17" t="str">
        <f aca="false">IF(AND($A396="",$B396="",$C396="",$D396="",$E396=""),"",IF('Due List'!$B$4="Check details",IF($G396="Check details",ROW(),""),IF('Due List'!$B$4="All records",IF($G396="Check details",ROW()/100000,$F396+ROW()/100000),IF(OR($G396="Overdue",$G396="Due today",$G396="Due in next 30 days"),$F396+ROW()/100000,""))))</f>
        <v/>
      </c>
    </row>
    <row r="397" customFormat="false" ht="15" hidden="false" customHeight="false" outlineLevel="0" collapsed="false">
      <c r="A397" s="11"/>
      <c r="B397" s="11"/>
      <c r="C397" s="11"/>
      <c r="D397" s="12"/>
      <c r="E397" s="13"/>
      <c r="F397" s="14" t="str">
        <f aca="false">IF(OR(AND($A397="",$B397="",$C397="",$D397="",$E397=""),$I397&lt;&gt;""),"",EDATE($D397,$E397))</f>
        <v/>
      </c>
      <c r="G397" s="6" t="str">
        <f aca="false">IF(AND($A397="",$B397="",$C397="",$D397="",$E397=""),"",IF($I397&lt;&gt;"","Check details",IF($F397&lt;AsOf,"Overdue",IF($F397=AsOf,"Due today",IF($F397&lt;=AsOf+30,"Due in next 30 days","Later")))))</f>
        <v/>
      </c>
      <c r="H397" s="15" t="str">
        <f aca="false">IF($F397="","",$F397-AsOf)</f>
        <v/>
      </c>
      <c r="I397" s="16" t="str">
        <f aca="false">IF(AND($A397="",$B397="",$C397="",$D397="",$E397=""),"",TRIM(IF($A397="","Name missing. ","")&amp;IF($B397="","Site missing. ","")&amp;IF($D397="","Last service missing. ",IF(NOT(ISNUMBER($D397)),"Last service isn't a date. ",IF(OR($D397&lt;18264,$D397&lt;&gt;INT($D397)),"Last service isn't a valid date. ",IF($D397&gt;AsOf,"Last service is after the as-of date. ",""))))&amp;IF($E397="","Interval missing.",IF(NOT(ISNUMBER($E397)),"Interval must be a number.",IF($E397&lt;&gt;INT($E397),"Interval must be whole months.",IF(OR($E397&lt;1,$E397&gt;240),"Interval must be 1-240 months.",""))))))</f>
        <v/>
      </c>
      <c r="J397" s="17" t="str">
        <f aca="false">IF(AND($A397="",$B397="",$C397="",$D397="",$E397=""),"",IF('Due List'!$B$4="Check details",IF($G397="Check details",ROW(),""),IF('Due List'!$B$4="All records",IF($G397="Check details",ROW()/100000,$F397+ROW()/100000),IF(OR($G397="Overdue",$G397="Due today",$G397="Due in next 30 days"),$F397+ROW()/100000,""))))</f>
        <v/>
      </c>
    </row>
    <row r="398" customFormat="false" ht="15" hidden="false" customHeight="false" outlineLevel="0" collapsed="false">
      <c r="A398" s="11"/>
      <c r="B398" s="11"/>
      <c r="C398" s="11"/>
      <c r="D398" s="12"/>
      <c r="E398" s="13"/>
      <c r="F398" s="14" t="str">
        <f aca="false">IF(OR(AND($A398="",$B398="",$C398="",$D398="",$E398=""),$I398&lt;&gt;""),"",EDATE($D398,$E398))</f>
        <v/>
      </c>
      <c r="G398" s="6" t="str">
        <f aca="false">IF(AND($A398="",$B398="",$C398="",$D398="",$E398=""),"",IF($I398&lt;&gt;"","Check details",IF($F398&lt;AsOf,"Overdue",IF($F398=AsOf,"Due today",IF($F398&lt;=AsOf+30,"Due in next 30 days","Later")))))</f>
        <v/>
      </c>
      <c r="H398" s="15" t="str">
        <f aca="false">IF($F398="","",$F398-AsOf)</f>
        <v/>
      </c>
      <c r="I398" s="16" t="str">
        <f aca="false">IF(AND($A398="",$B398="",$C398="",$D398="",$E398=""),"",TRIM(IF($A398="","Name missing. ","")&amp;IF($B398="","Site missing. ","")&amp;IF($D398="","Last service missing. ",IF(NOT(ISNUMBER($D398)),"Last service isn't a date. ",IF(OR($D398&lt;18264,$D398&lt;&gt;INT($D398)),"Last service isn't a valid date. ",IF($D398&gt;AsOf,"Last service is after the as-of date. ",""))))&amp;IF($E398="","Interval missing.",IF(NOT(ISNUMBER($E398)),"Interval must be a number.",IF($E398&lt;&gt;INT($E398),"Interval must be whole months.",IF(OR($E398&lt;1,$E398&gt;240),"Interval must be 1-240 months.",""))))))</f>
        <v/>
      </c>
      <c r="J398" s="17" t="str">
        <f aca="false">IF(AND($A398="",$B398="",$C398="",$D398="",$E398=""),"",IF('Due List'!$B$4="Check details",IF($G398="Check details",ROW(),""),IF('Due List'!$B$4="All records",IF($G398="Check details",ROW()/100000,$F398+ROW()/100000),IF(OR($G398="Overdue",$G398="Due today",$G398="Due in next 30 days"),$F398+ROW()/100000,""))))</f>
        <v/>
      </c>
    </row>
    <row r="399" customFormat="false" ht="15" hidden="false" customHeight="false" outlineLevel="0" collapsed="false">
      <c r="A399" s="11"/>
      <c r="B399" s="11"/>
      <c r="C399" s="11"/>
      <c r="D399" s="12"/>
      <c r="E399" s="13"/>
      <c r="F399" s="14" t="str">
        <f aca="false">IF(OR(AND($A399="",$B399="",$C399="",$D399="",$E399=""),$I399&lt;&gt;""),"",EDATE($D399,$E399))</f>
        <v/>
      </c>
      <c r="G399" s="6" t="str">
        <f aca="false">IF(AND($A399="",$B399="",$C399="",$D399="",$E399=""),"",IF($I399&lt;&gt;"","Check details",IF($F399&lt;AsOf,"Overdue",IF($F399=AsOf,"Due today",IF($F399&lt;=AsOf+30,"Due in next 30 days","Later")))))</f>
        <v/>
      </c>
      <c r="H399" s="15" t="str">
        <f aca="false">IF($F399="","",$F399-AsOf)</f>
        <v/>
      </c>
      <c r="I399" s="16" t="str">
        <f aca="false">IF(AND($A399="",$B399="",$C399="",$D399="",$E399=""),"",TRIM(IF($A399="","Name missing. ","")&amp;IF($B399="","Site missing. ","")&amp;IF($D399="","Last service missing. ",IF(NOT(ISNUMBER($D399)),"Last service isn't a date. ",IF(OR($D399&lt;18264,$D399&lt;&gt;INT($D399)),"Last service isn't a valid date. ",IF($D399&gt;AsOf,"Last service is after the as-of date. ",""))))&amp;IF($E399="","Interval missing.",IF(NOT(ISNUMBER($E399)),"Interval must be a number.",IF($E399&lt;&gt;INT($E399),"Interval must be whole months.",IF(OR($E399&lt;1,$E399&gt;240),"Interval must be 1-240 months.",""))))))</f>
        <v/>
      </c>
      <c r="J399" s="17" t="str">
        <f aca="false">IF(AND($A399="",$B399="",$C399="",$D399="",$E399=""),"",IF('Due List'!$B$4="Check details",IF($G399="Check details",ROW(),""),IF('Due List'!$B$4="All records",IF($G399="Check details",ROW()/100000,$F399+ROW()/100000),IF(OR($G399="Overdue",$G399="Due today",$G399="Due in next 30 days"),$F399+ROW()/100000,""))))</f>
        <v/>
      </c>
    </row>
    <row r="400" customFormat="false" ht="15" hidden="false" customHeight="false" outlineLevel="0" collapsed="false">
      <c r="A400" s="11"/>
      <c r="B400" s="11"/>
      <c r="C400" s="11"/>
      <c r="D400" s="12"/>
      <c r="E400" s="13"/>
      <c r="F400" s="14" t="str">
        <f aca="false">IF(OR(AND($A400="",$B400="",$C400="",$D400="",$E400=""),$I400&lt;&gt;""),"",EDATE($D400,$E400))</f>
        <v/>
      </c>
      <c r="G400" s="6" t="str">
        <f aca="false">IF(AND($A400="",$B400="",$C400="",$D400="",$E400=""),"",IF($I400&lt;&gt;"","Check details",IF($F400&lt;AsOf,"Overdue",IF($F400=AsOf,"Due today",IF($F400&lt;=AsOf+30,"Due in next 30 days","Later")))))</f>
        <v/>
      </c>
      <c r="H400" s="15" t="str">
        <f aca="false">IF($F400="","",$F400-AsOf)</f>
        <v/>
      </c>
      <c r="I400" s="16" t="str">
        <f aca="false">IF(AND($A400="",$B400="",$C400="",$D400="",$E400=""),"",TRIM(IF($A400="","Name missing. ","")&amp;IF($B400="","Site missing. ","")&amp;IF($D400="","Last service missing. ",IF(NOT(ISNUMBER($D400)),"Last service isn't a date. ",IF(OR($D400&lt;18264,$D400&lt;&gt;INT($D400)),"Last service isn't a valid date. ",IF($D400&gt;AsOf,"Last service is after the as-of date. ",""))))&amp;IF($E400="","Interval missing.",IF(NOT(ISNUMBER($E400)),"Interval must be a number.",IF($E400&lt;&gt;INT($E400),"Interval must be whole months.",IF(OR($E400&lt;1,$E400&gt;240),"Interval must be 1-240 months.",""))))))</f>
        <v/>
      </c>
      <c r="J400" s="17" t="str">
        <f aca="false">IF(AND($A400="",$B400="",$C400="",$D400="",$E400=""),"",IF('Due List'!$B$4="Check details",IF($G400="Check details",ROW(),""),IF('Due List'!$B$4="All records",IF($G400="Check details",ROW()/100000,$F400+ROW()/100000),IF(OR($G400="Overdue",$G400="Due today",$G400="Due in next 30 days"),$F400+ROW()/100000,""))))</f>
        <v/>
      </c>
    </row>
    <row r="401" customFormat="false" ht="15" hidden="false" customHeight="false" outlineLevel="0" collapsed="false">
      <c r="A401" s="11"/>
      <c r="B401" s="11"/>
      <c r="C401" s="11"/>
      <c r="D401" s="12"/>
      <c r="E401" s="13"/>
      <c r="F401" s="14" t="str">
        <f aca="false">IF(OR(AND($A401="",$B401="",$C401="",$D401="",$E401=""),$I401&lt;&gt;""),"",EDATE($D401,$E401))</f>
        <v/>
      </c>
      <c r="G401" s="6" t="str">
        <f aca="false">IF(AND($A401="",$B401="",$C401="",$D401="",$E401=""),"",IF($I401&lt;&gt;"","Check details",IF($F401&lt;AsOf,"Overdue",IF($F401=AsOf,"Due today",IF($F401&lt;=AsOf+30,"Due in next 30 days","Later")))))</f>
        <v/>
      </c>
      <c r="H401" s="15" t="str">
        <f aca="false">IF($F401="","",$F401-AsOf)</f>
        <v/>
      </c>
      <c r="I401" s="16" t="str">
        <f aca="false">IF(AND($A401="",$B401="",$C401="",$D401="",$E401=""),"",TRIM(IF($A401="","Name missing. ","")&amp;IF($B401="","Site missing. ","")&amp;IF($D401="","Last service missing. ",IF(NOT(ISNUMBER($D401)),"Last service isn't a date. ",IF(OR($D401&lt;18264,$D401&lt;&gt;INT($D401)),"Last service isn't a valid date. ",IF($D401&gt;AsOf,"Last service is after the as-of date. ",""))))&amp;IF($E401="","Interval missing.",IF(NOT(ISNUMBER($E401)),"Interval must be a number.",IF($E401&lt;&gt;INT($E401),"Interval must be whole months.",IF(OR($E401&lt;1,$E401&gt;240),"Interval must be 1-240 months.",""))))))</f>
        <v/>
      </c>
      <c r="J401" s="17" t="str">
        <f aca="false">IF(AND($A401="",$B401="",$C401="",$D401="",$E401=""),"",IF('Due List'!$B$4="Check details",IF($G401="Check details",ROW(),""),IF('Due List'!$B$4="All records",IF($G401="Check details",ROW()/100000,$F401+ROW()/100000),IF(OR($G401="Overdue",$G401="Due today",$G401="Due in next 30 days"),$F401+ROW()/100000,""))))</f>
        <v/>
      </c>
    </row>
    <row r="402" customFormat="false" ht="15" hidden="false" customHeight="false" outlineLevel="0" collapsed="false">
      <c r="A402" s="11"/>
      <c r="B402" s="11"/>
      <c r="C402" s="11"/>
      <c r="D402" s="12"/>
      <c r="E402" s="13"/>
      <c r="F402" s="14" t="str">
        <f aca="false">IF(OR(AND($A402="",$B402="",$C402="",$D402="",$E402=""),$I402&lt;&gt;""),"",EDATE($D402,$E402))</f>
        <v/>
      </c>
      <c r="G402" s="6" t="str">
        <f aca="false">IF(AND($A402="",$B402="",$C402="",$D402="",$E402=""),"",IF($I402&lt;&gt;"","Check details",IF($F402&lt;AsOf,"Overdue",IF($F402=AsOf,"Due today",IF($F402&lt;=AsOf+30,"Due in next 30 days","Later")))))</f>
        <v/>
      </c>
      <c r="H402" s="15" t="str">
        <f aca="false">IF($F402="","",$F402-AsOf)</f>
        <v/>
      </c>
      <c r="I402" s="16" t="str">
        <f aca="false">IF(AND($A402="",$B402="",$C402="",$D402="",$E402=""),"",TRIM(IF($A402="","Name missing. ","")&amp;IF($B402="","Site missing. ","")&amp;IF($D402="","Last service missing. ",IF(NOT(ISNUMBER($D402)),"Last service isn't a date. ",IF(OR($D402&lt;18264,$D402&lt;&gt;INT($D402)),"Last service isn't a valid date. ",IF($D402&gt;AsOf,"Last service is after the as-of date. ",""))))&amp;IF($E402="","Interval missing.",IF(NOT(ISNUMBER($E402)),"Interval must be a number.",IF($E402&lt;&gt;INT($E402),"Interval must be whole months.",IF(OR($E402&lt;1,$E402&gt;240),"Interval must be 1-240 months.",""))))))</f>
        <v/>
      </c>
      <c r="J402" s="17" t="str">
        <f aca="false">IF(AND($A402="",$B402="",$C402="",$D402="",$E402=""),"",IF('Due List'!$B$4="Check details",IF($G402="Check details",ROW(),""),IF('Due List'!$B$4="All records",IF($G402="Check details",ROW()/100000,$F402+ROW()/100000),IF(OR($G402="Overdue",$G402="Due today",$G402="Due in next 30 days"),$F402+ROW()/100000,""))))</f>
        <v/>
      </c>
    </row>
    <row r="403" customFormat="false" ht="15" hidden="false" customHeight="false" outlineLevel="0" collapsed="false">
      <c r="A403" s="11"/>
      <c r="B403" s="11"/>
      <c r="C403" s="11"/>
      <c r="D403" s="12"/>
      <c r="E403" s="13"/>
      <c r="F403" s="14" t="str">
        <f aca="false">IF(OR(AND($A403="",$B403="",$C403="",$D403="",$E403=""),$I403&lt;&gt;""),"",EDATE($D403,$E403))</f>
        <v/>
      </c>
      <c r="G403" s="6" t="str">
        <f aca="false">IF(AND($A403="",$B403="",$C403="",$D403="",$E403=""),"",IF($I403&lt;&gt;"","Check details",IF($F403&lt;AsOf,"Overdue",IF($F403=AsOf,"Due today",IF($F403&lt;=AsOf+30,"Due in next 30 days","Later")))))</f>
        <v/>
      </c>
      <c r="H403" s="15" t="str">
        <f aca="false">IF($F403="","",$F403-AsOf)</f>
        <v/>
      </c>
      <c r="I403" s="16" t="str">
        <f aca="false">IF(AND($A403="",$B403="",$C403="",$D403="",$E403=""),"",TRIM(IF($A403="","Name missing. ","")&amp;IF($B403="","Site missing. ","")&amp;IF($D403="","Last service missing. ",IF(NOT(ISNUMBER($D403)),"Last service isn't a date. ",IF(OR($D403&lt;18264,$D403&lt;&gt;INT($D403)),"Last service isn't a valid date. ",IF($D403&gt;AsOf,"Last service is after the as-of date. ",""))))&amp;IF($E403="","Interval missing.",IF(NOT(ISNUMBER($E403)),"Interval must be a number.",IF($E403&lt;&gt;INT($E403),"Interval must be whole months.",IF(OR($E403&lt;1,$E403&gt;240),"Interval must be 1-240 months.",""))))))</f>
        <v/>
      </c>
      <c r="J403" s="17" t="str">
        <f aca="false">IF(AND($A403="",$B403="",$C403="",$D403="",$E403=""),"",IF('Due List'!$B$4="Check details",IF($G403="Check details",ROW(),""),IF('Due List'!$B$4="All records",IF($G403="Check details",ROW()/100000,$F403+ROW()/100000),IF(OR($G403="Overdue",$G403="Due today",$G403="Due in next 30 days"),$F403+ROW()/100000,""))))</f>
        <v/>
      </c>
    </row>
    <row r="404" customFormat="false" ht="15" hidden="false" customHeight="false" outlineLevel="0" collapsed="false">
      <c r="A404" s="11"/>
      <c r="B404" s="11"/>
      <c r="C404" s="11"/>
      <c r="D404" s="12"/>
      <c r="E404" s="13"/>
      <c r="F404" s="14" t="str">
        <f aca="false">IF(OR(AND($A404="",$B404="",$C404="",$D404="",$E404=""),$I404&lt;&gt;""),"",EDATE($D404,$E404))</f>
        <v/>
      </c>
      <c r="G404" s="6" t="str">
        <f aca="false">IF(AND($A404="",$B404="",$C404="",$D404="",$E404=""),"",IF($I404&lt;&gt;"","Check details",IF($F404&lt;AsOf,"Overdue",IF($F404=AsOf,"Due today",IF($F404&lt;=AsOf+30,"Due in next 30 days","Later")))))</f>
        <v/>
      </c>
      <c r="H404" s="15" t="str">
        <f aca="false">IF($F404="","",$F404-AsOf)</f>
        <v/>
      </c>
      <c r="I404" s="16" t="str">
        <f aca="false">IF(AND($A404="",$B404="",$C404="",$D404="",$E404=""),"",TRIM(IF($A404="","Name missing. ","")&amp;IF($B404="","Site missing. ","")&amp;IF($D404="","Last service missing. ",IF(NOT(ISNUMBER($D404)),"Last service isn't a date. ",IF(OR($D404&lt;18264,$D404&lt;&gt;INT($D404)),"Last service isn't a valid date. ",IF($D404&gt;AsOf,"Last service is after the as-of date. ",""))))&amp;IF($E404="","Interval missing.",IF(NOT(ISNUMBER($E404)),"Interval must be a number.",IF($E404&lt;&gt;INT($E404),"Interval must be whole months.",IF(OR($E404&lt;1,$E404&gt;240),"Interval must be 1-240 months.",""))))))</f>
        <v/>
      </c>
      <c r="J404" s="17" t="str">
        <f aca="false">IF(AND($A404="",$B404="",$C404="",$D404="",$E404=""),"",IF('Due List'!$B$4="Check details",IF($G404="Check details",ROW(),""),IF('Due List'!$B$4="All records",IF($G404="Check details",ROW()/100000,$F404+ROW()/100000),IF(OR($G404="Overdue",$G404="Due today",$G404="Due in next 30 days"),$F404+ROW()/100000,""))))</f>
        <v/>
      </c>
    </row>
    <row r="405" customFormat="false" ht="15" hidden="false" customHeight="false" outlineLevel="0" collapsed="false">
      <c r="A405" s="11"/>
      <c r="B405" s="11"/>
      <c r="C405" s="11"/>
      <c r="D405" s="12"/>
      <c r="E405" s="13"/>
      <c r="F405" s="14" t="str">
        <f aca="false">IF(OR(AND($A405="",$B405="",$C405="",$D405="",$E405=""),$I405&lt;&gt;""),"",EDATE($D405,$E405))</f>
        <v/>
      </c>
      <c r="G405" s="6" t="str">
        <f aca="false">IF(AND($A405="",$B405="",$C405="",$D405="",$E405=""),"",IF($I405&lt;&gt;"","Check details",IF($F405&lt;AsOf,"Overdue",IF($F405=AsOf,"Due today",IF($F405&lt;=AsOf+30,"Due in next 30 days","Later")))))</f>
        <v/>
      </c>
      <c r="H405" s="15" t="str">
        <f aca="false">IF($F405="","",$F405-AsOf)</f>
        <v/>
      </c>
      <c r="I405" s="16" t="str">
        <f aca="false">IF(AND($A405="",$B405="",$C405="",$D405="",$E405=""),"",TRIM(IF($A405="","Name missing. ","")&amp;IF($B405="","Site missing. ","")&amp;IF($D405="","Last service missing. ",IF(NOT(ISNUMBER($D405)),"Last service isn't a date. ",IF(OR($D405&lt;18264,$D405&lt;&gt;INT($D405)),"Last service isn't a valid date. ",IF($D405&gt;AsOf,"Last service is after the as-of date. ",""))))&amp;IF($E405="","Interval missing.",IF(NOT(ISNUMBER($E405)),"Interval must be a number.",IF($E405&lt;&gt;INT($E405),"Interval must be whole months.",IF(OR($E405&lt;1,$E405&gt;240),"Interval must be 1-240 months.",""))))))</f>
        <v/>
      </c>
      <c r="J405" s="17" t="str">
        <f aca="false">IF(AND($A405="",$B405="",$C405="",$D405="",$E405=""),"",IF('Due List'!$B$4="Check details",IF($G405="Check details",ROW(),""),IF('Due List'!$B$4="All records",IF($G405="Check details",ROW()/100000,$F405+ROW()/100000),IF(OR($G405="Overdue",$G405="Due today",$G405="Due in next 30 days"),$F405+ROW()/100000,""))))</f>
        <v/>
      </c>
    </row>
    <row r="406" customFormat="false" ht="15" hidden="false" customHeight="false" outlineLevel="0" collapsed="false">
      <c r="A406" s="11"/>
      <c r="B406" s="11"/>
      <c r="C406" s="11"/>
      <c r="D406" s="12"/>
      <c r="E406" s="13"/>
      <c r="F406" s="14" t="str">
        <f aca="false">IF(OR(AND($A406="",$B406="",$C406="",$D406="",$E406=""),$I406&lt;&gt;""),"",EDATE($D406,$E406))</f>
        <v/>
      </c>
      <c r="G406" s="6" t="str">
        <f aca="false">IF(AND($A406="",$B406="",$C406="",$D406="",$E406=""),"",IF($I406&lt;&gt;"","Check details",IF($F406&lt;AsOf,"Overdue",IF($F406=AsOf,"Due today",IF($F406&lt;=AsOf+30,"Due in next 30 days","Later")))))</f>
        <v/>
      </c>
      <c r="H406" s="15" t="str">
        <f aca="false">IF($F406="","",$F406-AsOf)</f>
        <v/>
      </c>
      <c r="I406" s="16" t="str">
        <f aca="false">IF(AND($A406="",$B406="",$C406="",$D406="",$E406=""),"",TRIM(IF($A406="","Name missing. ","")&amp;IF($B406="","Site missing. ","")&amp;IF($D406="","Last service missing. ",IF(NOT(ISNUMBER($D406)),"Last service isn't a date. ",IF(OR($D406&lt;18264,$D406&lt;&gt;INT($D406)),"Last service isn't a valid date. ",IF($D406&gt;AsOf,"Last service is after the as-of date. ",""))))&amp;IF($E406="","Interval missing.",IF(NOT(ISNUMBER($E406)),"Interval must be a number.",IF($E406&lt;&gt;INT($E406),"Interval must be whole months.",IF(OR($E406&lt;1,$E406&gt;240),"Interval must be 1-240 months.",""))))))</f>
        <v/>
      </c>
      <c r="J406" s="17" t="str">
        <f aca="false">IF(AND($A406="",$B406="",$C406="",$D406="",$E406=""),"",IF('Due List'!$B$4="Check details",IF($G406="Check details",ROW(),""),IF('Due List'!$B$4="All records",IF($G406="Check details",ROW()/100000,$F406+ROW()/100000),IF(OR($G406="Overdue",$G406="Due today",$G406="Due in next 30 days"),$F406+ROW()/100000,""))))</f>
        <v/>
      </c>
    </row>
    <row r="407" customFormat="false" ht="15" hidden="false" customHeight="false" outlineLevel="0" collapsed="false">
      <c r="A407" s="11"/>
      <c r="B407" s="11"/>
      <c r="C407" s="11"/>
      <c r="D407" s="12"/>
      <c r="E407" s="13"/>
      <c r="F407" s="14" t="str">
        <f aca="false">IF(OR(AND($A407="",$B407="",$C407="",$D407="",$E407=""),$I407&lt;&gt;""),"",EDATE($D407,$E407))</f>
        <v/>
      </c>
      <c r="G407" s="6" t="str">
        <f aca="false">IF(AND($A407="",$B407="",$C407="",$D407="",$E407=""),"",IF($I407&lt;&gt;"","Check details",IF($F407&lt;AsOf,"Overdue",IF($F407=AsOf,"Due today",IF($F407&lt;=AsOf+30,"Due in next 30 days","Later")))))</f>
        <v/>
      </c>
      <c r="H407" s="15" t="str">
        <f aca="false">IF($F407="","",$F407-AsOf)</f>
        <v/>
      </c>
      <c r="I407" s="16" t="str">
        <f aca="false">IF(AND($A407="",$B407="",$C407="",$D407="",$E407=""),"",TRIM(IF($A407="","Name missing. ","")&amp;IF($B407="","Site missing. ","")&amp;IF($D407="","Last service missing. ",IF(NOT(ISNUMBER($D407)),"Last service isn't a date. ",IF(OR($D407&lt;18264,$D407&lt;&gt;INT($D407)),"Last service isn't a valid date. ",IF($D407&gt;AsOf,"Last service is after the as-of date. ",""))))&amp;IF($E407="","Interval missing.",IF(NOT(ISNUMBER($E407)),"Interval must be a number.",IF($E407&lt;&gt;INT($E407),"Interval must be whole months.",IF(OR($E407&lt;1,$E407&gt;240),"Interval must be 1-240 months.",""))))))</f>
        <v/>
      </c>
      <c r="J407" s="17" t="str">
        <f aca="false">IF(AND($A407="",$B407="",$C407="",$D407="",$E407=""),"",IF('Due List'!$B$4="Check details",IF($G407="Check details",ROW(),""),IF('Due List'!$B$4="All records",IF($G407="Check details",ROW()/100000,$F407+ROW()/100000),IF(OR($G407="Overdue",$G407="Due today",$G407="Due in next 30 days"),$F407+ROW()/100000,""))))</f>
        <v/>
      </c>
    </row>
    <row r="408" customFormat="false" ht="15" hidden="false" customHeight="false" outlineLevel="0" collapsed="false">
      <c r="A408" s="11"/>
      <c r="B408" s="11"/>
      <c r="C408" s="11"/>
      <c r="D408" s="12"/>
      <c r="E408" s="13"/>
      <c r="F408" s="14" t="str">
        <f aca="false">IF(OR(AND($A408="",$B408="",$C408="",$D408="",$E408=""),$I408&lt;&gt;""),"",EDATE($D408,$E408))</f>
        <v/>
      </c>
      <c r="G408" s="6" t="str">
        <f aca="false">IF(AND($A408="",$B408="",$C408="",$D408="",$E408=""),"",IF($I408&lt;&gt;"","Check details",IF($F408&lt;AsOf,"Overdue",IF($F408=AsOf,"Due today",IF($F408&lt;=AsOf+30,"Due in next 30 days","Later")))))</f>
        <v/>
      </c>
      <c r="H408" s="15" t="str">
        <f aca="false">IF($F408="","",$F408-AsOf)</f>
        <v/>
      </c>
      <c r="I408" s="16" t="str">
        <f aca="false">IF(AND($A408="",$B408="",$C408="",$D408="",$E408=""),"",TRIM(IF($A408="","Name missing. ","")&amp;IF($B408="","Site missing. ","")&amp;IF($D408="","Last service missing. ",IF(NOT(ISNUMBER($D408)),"Last service isn't a date. ",IF(OR($D408&lt;18264,$D408&lt;&gt;INT($D408)),"Last service isn't a valid date. ",IF($D408&gt;AsOf,"Last service is after the as-of date. ",""))))&amp;IF($E408="","Interval missing.",IF(NOT(ISNUMBER($E408)),"Interval must be a number.",IF($E408&lt;&gt;INT($E408),"Interval must be whole months.",IF(OR($E408&lt;1,$E408&gt;240),"Interval must be 1-240 months.",""))))))</f>
        <v/>
      </c>
      <c r="J408" s="17" t="str">
        <f aca="false">IF(AND($A408="",$B408="",$C408="",$D408="",$E408=""),"",IF('Due List'!$B$4="Check details",IF($G408="Check details",ROW(),""),IF('Due List'!$B$4="All records",IF($G408="Check details",ROW()/100000,$F408+ROW()/100000),IF(OR($G408="Overdue",$G408="Due today",$G408="Due in next 30 days"),$F408+ROW()/100000,""))))</f>
        <v/>
      </c>
    </row>
    <row r="409" customFormat="false" ht="15" hidden="false" customHeight="false" outlineLevel="0" collapsed="false">
      <c r="A409" s="11"/>
      <c r="B409" s="11"/>
      <c r="C409" s="11"/>
      <c r="D409" s="12"/>
      <c r="E409" s="13"/>
      <c r="F409" s="14" t="str">
        <f aca="false">IF(OR(AND($A409="",$B409="",$C409="",$D409="",$E409=""),$I409&lt;&gt;""),"",EDATE($D409,$E409))</f>
        <v/>
      </c>
      <c r="G409" s="6" t="str">
        <f aca="false">IF(AND($A409="",$B409="",$C409="",$D409="",$E409=""),"",IF($I409&lt;&gt;"","Check details",IF($F409&lt;AsOf,"Overdue",IF($F409=AsOf,"Due today",IF($F409&lt;=AsOf+30,"Due in next 30 days","Later")))))</f>
        <v/>
      </c>
      <c r="H409" s="15" t="str">
        <f aca="false">IF($F409="","",$F409-AsOf)</f>
        <v/>
      </c>
      <c r="I409" s="16" t="str">
        <f aca="false">IF(AND($A409="",$B409="",$C409="",$D409="",$E409=""),"",TRIM(IF($A409="","Name missing. ","")&amp;IF($B409="","Site missing. ","")&amp;IF($D409="","Last service missing. ",IF(NOT(ISNUMBER($D409)),"Last service isn't a date. ",IF(OR($D409&lt;18264,$D409&lt;&gt;INT($D409)),"Last service isn't a valid date. ",IF($D409&gt;AsOf,"Last service is after the as-of date. ",""))))&amp;IF($E409="","Interval missing.",IF(NOT(ISNUMBER($E409)),"Interval must be a number.",IF($E409&lt;&gt;INT($E409),"Interval must be whole months.",IF(OR($E409&lt;1,$E409&gt;240),"Interval must be 1-240 months.",""))))))</f>
        <v/>
      </c>
      <c r="J409" s="17" t="str">
        <f aca="false">IF(AND($A409="",$B409="",$C409="",$D409="",$E409=""),"",IF('Due List'!$B$4="Check details",IF($G409="Check details",ROW(),""),IF('Due List'!$B$4="All records",IF($G409="Check details",ROW()/100000,$F409+ROW()/100000),IF(OR($G409="Overdue",$G409="Due today",$G409="Due in next 30 days"),$F409+ROW()/100000,""))))</f>
        <v/>
      </c>
    </row>
    <row r="410" customFormat="false" ht="15" hidden="false" customHeight="false" outlineLevel="0" collapsed="false">
      <c r="A410" s="11"/>
      <c r="B410" s="11"/>
      <c r="C410" s="11"/>
      <c r="D410" s="12"/>
      <c r="E410" s="13"/>
      <c r="F410" s="14" t="str">
        <f aca="false">IF(OR(AND($A410="",$B410="",$C410="",$D410="",$E410=""),$I410&lt;&gt;""),"",EDATE($D410,$E410))</f>
        <v/>
      </c>
      <c r="G410" s="6" t="str">
        <f aca="false">IF(AND($A410="",$B410="",$C410="",$D410="",$E410=""),"",IF($I410&lt;&gt;"","Check details",IF($F410&lt;AsOf,"Overdue",IF($F410=AsOf,"Due today",IF($F410&lt;=AsOf+30,"Due in next 30 days","Later")))))</f>
        <v/>
      </c>
      <c r="H410" s="15" t="str">
        <f aca="false">IF($F410="","",$F410-AsOf)</f>
        <v/>
      </c>
      <c r="I410" s="16" t="str">
        <f aca="false">IF(AND($A410="",$B410="",$C410="",$D410="",$E410=""),"",TRIM(IF($A410="","Name missing. ","")&amp;IF($B410="","Site missing. ","")&amp;IF($D410="","Last service missing. ",IF(NOT(ISNUMBER($D410)),"Last service isn't a date. ",IF(OR($D410&lt;18264,$D410&lt;&gt;INT($D410)),"Last service isn't a valid date. ",IF($D410&gt;AsOf,"Last service is after the as-of date. ",""))))&amp;IF($E410="","Interval missing.",IF(NOT(ISNUMBER($E410)),"Interval must be a number.",IF($E410&lt;&gt;INT($E410),"Interval must be whole months.",IF(OR($E410&lt;1,$E410&gt;240),"Interval must be 1-240 months.",""))))))</f>
        <v/>
      </c>
      <c r="J410" s="17" t="str">
        <f aca="false">IF(AND($A410="",$B410="",$C410="",$D410="",$E410=""),"",IF('Due List'!$B$4="Check details",IF($G410="Check details",ROW(),""),IF('Due List'!$B$4="All records",IF($G410="Check details",ROW()/100000,$F410+ROW()/100000),IF(OR($G410="Overdue",$G410="Due today",$G410="Due in next 30 days"),$F410+ROW()/100000,""))))</f>
        <v/>
      </c>
    </row>
    <row r="411" customFormat="false" ht="15" hidden="false" customHeight="false" outlineLevel="0" collapsed="false">
      <c r="A411" s="11"/>
      <c r="B411" s="11"/>
      <c r="C411" s="11"/>
      <c r="D411" s="12"/>
      <c r="E411" s="13"/>
      <c r="F411" s="14" t="str">
        <f aca="false">IF(OR(AND($A411="",$B411="",$C411="",$D411="",$E411=""),$I411&lt;&gt;""),"",EDATE($D411,$E411))</f>
        <v/>
      </c>
      <c r="G411" s="6" t="str">
        <f aca="false">IF(AND($A411="",$B411="",$C411="",$D411="",$E411=""),"",IF($I411&lt;&gt;"","Check details",IF($F411&lt;AsOf,"Overdue",IF($F411=AsOf,"Due today",IF($F411&lt;=AsOf+30,"Due in next 30 days","Later")))))</f>
        <v/>
      </c>
      <c r="H411" s="15" t="str">
        <f aca="false">IF($F411="","",$F411-AsOf)</f>
        <v/>
      </c>
      <c r="I411" s="16" t="str">
        <f aca="false">IF(AND($A411="",$B411="",$C411="",$D411="",$E411=""),"",TRIM(IF($A411="","Name missing. ","")&amp;IF($B411="","Site missing. ","")&amp;IF($D411="","Last service missing. ",IF(NOT(ISNUMBER($D411)),"Last service isn't a date. ",IF(OR($D411&lt;18264,$D411&lt;&gt;INT($D411)),"Last service isn't a valid date. ",IF($D411&gt;AsOf,"Last service is after the as-of date. ",""))))&amp;IF($E411="","Interval missing.",IF(NOT(ISNUMBER($E411)),"Interval must be a number.",IF($E411&lt;&gt;INT($E411),"Interval must be whole months.",IF(OR($E411&lt;1,$E411&gt;240),"Interval must be 1-240 months.",""))))))</f>
        <v/>
      </c>
      <c r="J411" s="17" t="str">
        <f aca="false">IF(AND($A411="",$B411="",$C411="",$D411="",$E411=""),"",IF('Due List'!$B$4="Check details",IF($G411="Check details",ROW(),""),IF('Due List'!$B$4="All records",IF($G411="Check details",ROW()/100000,$F411+ROW()/100000),IF(OR($G411="Overdue",$G411="Due today",$G411="Due in next 30 days"),$F411+ROW()/100000,""))))</f>
        <v/>
      </c>
    </row>
    <row r="412" customFormat="false" ht="15" hidden="false" customHeight="false" outlineLevel="0" collapsed="false">
      <c r="A412" s="11"/>
      <c r="B412" s="11"/>
      <c r="C412" s="11"/>
      <c r="D412" s="12"/>
      <c r="E412" s="13"/>
      <c r="F412" s="14" t="str">
        <f aca="false">IF(OR(AND($A412="",$B412="",$C412="",$D412="",$E412=""),$I412&lt;&gt;""),"",EDATE($D412,$E412))</f>
        <v/>
      </c>
      <c r="G412" s="6" t="str">
        <f aca="false">IF(AND($A412="",$B412="",$C412="",$D412="",$E412=""),"",IF($I412&lt;&gt;"","Check details",IF($F412&lt;AsOf,"Overdue",IF($F412=AsOf,"Due today",IF($F412&lt;=AsOf+30,"Due in next 30 days","Later")))))</f>
        <v/>
      </c>
      <c r="H412" s="15" t="str">
        <f aca="false">IF($F412="","",$F412-AsOf)</f>
        <v/>
      </c>
      <c r="I412" s="16" t="str">
        <f aca="false">IF(AND($A412="",$B412="",$C412="",$D412="",$E412=""),"",TRIM(IF($A412="","Name missing. ","")&amp;IF($B412="","Site missing. ","")&amp;IF($D412="","Last service missing. ",IF(NOT(ISNUMBER($D412)),"Last service isn't a date. ",IF(OR($D412&lt;18264,$D412&lt;&gt;INT($D412)),"Last service isn't a valid date. ",IF($D412&gt;AsOf,"Last service is after the as-of date. ",""))))&amp;IF($E412="","Interval missing.",IF(NOT(ISNUMBER($E412)),"Interval must be a number.",IF($E412&lt;&gt;INT($E412),"Interval must be whole months.",IF(OR($E412&lt;1,$E412&gt;240),"Interval must be 1-240 months.",""))))))</f>
        <v/>
      </c>
      <c r="J412" s="17" t="str">
        <f aca="false">IF(AND($A412="",$B412="",$C412="",$D412="",$E412=""),"",IF('Due List'!$B$4="Check details",IF($G412="Check details",ROW(),""),IF('Due List'!$B$4="All records",IF($G412="Check details",ROW()/100000,$F412+ROW()/100000),IF(OR($G412="Overdue",$G412="Due today",$G412="Due in next 30 days"),$F412+ROW()/100000,""))))</f>
        <v/>
      </c>
    </row>
    <row r="413" customFormat="false" ht="15" hidden="false" customHeight="false" outlineLevel="0" collapsed="false">
      <c r="A413" s="11"/>
      <c r="B413" s="11"/>
      <c r="C413" s="11"/>
      <c r="D413" s="12"/>
      <c r="E413" s="13"/>
      <c r="F413" s="14" t="str">
        <f aca="false">IF(OR(AND($A413="",$B413="",$C413="",$D413="",$E413=""),$I413&lt;&gt;""),"",EDATE($D413,$E413))</f>
        <v/>
      </c>
      <c r="G413" s="6" t="str">
        <f aca="false">IF(AND($A413="",$B413="",$C413="",$D413="",$E413=""),"",IF($I413&lt;&gt;"","Check details",IF($F413&lt;AsOf,"Overdue",IF($F413=AsOf,"Due today",IF($F413&lt;=AsOf+30,"Due in next 30 days","Later")))))</f>
        <v/>
      </c>
      <c r="H413" s="15" t="str">
        <f aca="false">IF($F413="","",$F413-AsOf)</f>
        <v/>
      </c>
      <c r="I413" s="16" t="str">
        <f aca="false">IF(AND($A413="",$B413="",$C413="",$D413="",$E413=""),"",TRIM(IF($A413="","Name missing. ","")&amp;IF($B413="","Site missing. ","")&amp;IF($D413="","Last service missing. ",IF(NOT(ISNUMBER($D413)),"Last service isn't a date. ",IF(OR($D413&lt;18264,$D413&lt;&gt;INT($D413)),"Last service isn't a valid date. ",IF($D413&gt;AsOf,"Last service is after the as-of date. ",""))))&amp;IF($E413="","Interval missing.",IF(NOT(ISNUMBER($E413)),"Interval must be a number.",IF($E413&lt;&gt;INT($E413),"Interval must be whole months.",IF(OR($E413&lt;1,$E413&gt;240),"Interval must be 1-240 months.",""))))))</f>
        <v/>
      </c>
      <c r="J413" s="17" t="str">
        <f aca="false">IF(AND($A413="",$B413="",$C413="",$D413="",$E413=""),"",IF('Due List'!$B$4="Check details",IF($G413="Check details",ROW(),""),IF('Due List'!$B$4="All records",IF($G413="Check details",ROW()/100000,$F413+ROW()/100000),IF(OR($G413="Overdue",$G413="Due today",$G413="Due in next 30 days"),$F413+ROW()/100000,""))))</f>
        <v/>
      </c>
    </row>
    <row r="414" customFormat="false" ht="15" hidden="false" customHeight="false" outlineLevel="0" collapsed="false">
      <c r="A414" s="11"/>
      <c r="B414" s="11"/>
      <c r="C414" s="11"/>
      <c r="D414" s="12"/>
      <c r="E414" s="13"/>
      <c r="F414" s="14" t="str">
        <f aca="false">IF(OR(AND($A414="",$B414="",$C414="",$D414="",$E414=""),$I414&lt;&gt;""),"",EDATE($D414,$E414))</f>
        <v/>
      </c>
      <c r="G414" s="6" t="str">
        <f aca="false">IF(AND($A414="",$B414="",$C414="",$D414="",$E414=""),"",IF($I414&lt;&gt;"","Check details",IF($F414&lt;AsOf,"Overdue",IF($F414=AsOf,"Due today",IF($F414&lt;=AsOf+30,"Due in next 30 days","Later")))))</f>
        <v/>
      </c>
      <c r="H414" s="15" t="str">
        <f aca="false">IF($F414="","",$F414-AsOf)</f>
        <v/>
      </c>
      <c r="I414" s="16" t="str">
        <f aca="false">IF(AND($A414="",$B414="",$C414="",$D414="",$E414=""),"",TRIM(IF($A414="","Name missing. ","")&amp;IF($B414="","Site missing. ","")&amp;IF($D414="","Last service missing. ",IF(NOT(ISNUMBER($D414)),"Last service isn't a date. ",IF(OR($D414&lt;18264,$D414&lt;&gt;INT($D414)),"Last service isn't a valid date. ",IF($D414&gt;AsOf,"Last service is after the as-of date. ",""))))&amp;IF($E414="","Interval missing.",IF(NOT(ISNUMBER($E414)),"Interval must be a number.",IF($E414&lt;&gt;INT($E414),"Interval must be whole months.",IF(OR($E414&lt;1,$E414&gt;240),"Interval must be 1-240 months.",""))))))</f>
        <v/>
      </c>
      <c r="J414" s="17" t="str">
        <f aca="false">IF(AND($A414="",$B414="",$C414="",$D414="",$E414=""),"",IF('Due List'!$B$4="Check details",IF($G414="Check details",ROW(),""),IF('Due List'!$B$4="All records",IF($G414="Check details",ROW()/100000,$F414+ROW()/100000),IF(OR($G414="Overdue",$G414="Due today",$G414="Due in next 30 days"),$F414+ROW()/100000,""))))</f>
        <v/>
      </c>
    </row>
    <row r="415" customFormat="false" ht="15" hidden="false" customHeight="false" outlineLevel="0" collapsed="false">
      <c r="A415" s="11"/>
      <c r="B415" s="11"/>
      <c r="C415" s="11"/>
      <c r="D415" s="12"/>
      <c r="E415" s="13"/>
      <c r="F415" s="14" t="str">
        <f aca="false">IF(OR(AND($A415="",$B415="",$C415="",$D415="",$E415=""),$I415&lt;&gt;""),"",EDATE($D415,$E415))</f>
        <v/>
      </c>
      <c r="G415" s="6" t="str">
        <f aca="false">IF(AND($A415="",$B415="",$C415="",$D415="",$E415=""),"",IF($I415&lt;&gt;"","Check details",IF($F415&lt;AsOf,"Overdue",IF($F415=AsOf,"Due today",IF($F415&lt;=AsOf+30,"Due in next 30 days","Later")))))</f>
        <v/>
      </c>
      <c r="H415" s="15" t="str">
        <f aca="false">IF($F415="","",$F415-AsOf)</f>
        <v/>
      </c>
      <c r="I415" s="16" t="str">
        <f aca="false">IF(AND($A415="",$B415="",$C415="",$D415="",$E415=""),"",TRIM(IF($A415="","Name missing. ","")&amp;IF($B415="","Site missing. ","")&amp;IF($D415="","Last service missing. ",IF(NOT(ISNUMBER($D415)),"Last service isn't a date. ",IF(OR($D415&lt;18264,$D415&lt;&gt;INT($D415)),"Last service isn't a valid date. ",IF($D415&gt;AsOf,"Last service is after the as-of date. ",""))))&amp;IF($E415="","Interval missing.",IF(NOT(ISNUMBER($E415)),"Interval must be a number.",IF($E415&lt;&gt;INT($E415),"Interval must be whole months.",IF(OR($E415&lt;1,$E415&gt;240),"Interval must be 1-240 months.",""))))))</f>
        <v/>
      </c>
      <c r="J415" s="17" t="str">
        <f aca="false">IF(AND($A415="",$B415="",$C415="",$D415="",$E415=""),"",IF('Due List'!$B$4="Check details",IF($G415="Check details",ROW(),""),IF('Due List'!$B$4="All records",IF($G415="Check details",ROW()/100000,$F415+ROW()/100000),IF(OR($G415="Overdue",$G415="Due today",$G415="Due in next 30 days"),$F415+ROW()/100000,""))))</f>
        <v/>
      </c>
    </row>
    <row r="416" customFormat="false" ht="15" hidden="false" customHeight="false" outlineLevel="0" collapsed="false">
      <c r="A416" s="11"/>
      <c r="B416" s="11"/>
      <c r="C416" s="11"/>
      <c r="D416" s="12"/>
      <c r="E416" s="13"/>
      <c r="F416" s="14" t="str">
        <f aca="false">IF(OR(AND($A416="",$B416="",$C416="",$D416="",$E416=""),$I416&lt;&gt;""),"",EDATE($D416,$E416))</f>
        <v/>
      </c>
      <c r="G416" s="6" t="str">
        <f aca="false">IF(AND($A416="",$B416="",$C416="",$D416="",$E416=""),"",IF($I416&lt;&gt;"","Check details",IF($F416&lt;AsOf,"Overdue",IF($F416=AsOf,"Due today",IF($F416&lt;=AsOf+30,"Due in next 30 days","Later")))))</f>
        <v/>
      </c>
      <c r="H416" s="15" t="str">
        <f aca="false">IF($F416="","",$F416-AsOf)</f>
        <v/>
      </c>
      <c r="I416" s="16" t="str">
        <f aca="false">IF(AND($A416="",$B416="",$C416="",$D416="",$E416=""),"",TRIM(IF($A416="","Name missing. ","")&amp;IF($B416="","Site missing. ","")&amp;IF($D416="","Last service missing. ",IF(NOT(ISNUMBER($D416)),"Last service isn't a date. ",IF(OR($D416&lt;18264,$D416&lt;&gt;INT($D416)),"Last service isn't a valid date. ",IF($D416&gt;AsOf,"Last service is after the as-of date. ",""))))&amp;IF($E416="","Interval missing.",IF(NOT(ISNUMBER($E416)),"Interval must be a number.",IF($E416&lt;&gt;INT($E416),"Interval must be whole months.",IF(OR($E416&lt;1,$E416&gt;240),"Interval must be 1-240 months.",""))))))</f>
        <v/>
      </c>
      <c r="J416" s="17" t="str">
        <f aca="false">IF(AND($A416="",$B416="",$C416="",$D416="",$E416=""),"",IF('Due List'!$B$4="Check details",IF($G416="Check details",ROW(),""),IF('Due List'!$B$4="All records",IF($G416="Check details",ROW()/100000,$F416+ROW()/100000),IF(OR($G416="Overdue",$G416="Due today",$G416="Due in next 30 days"),$F416+ROW()/100000,""))))</f>
        <v/>
      </c>
    </row>
    <row r="417" customFormat="false" ht="15" hidden="false" customHeight="false" outlineLevel="0" collapsed="false">
      <c r="A417" s="11"/>
      <c r="B417" s="11"/>
      <c r="C417" s="11"/>
      <c r="D417" s="12"/>
      <c r="E417" s="13"/>
      <c r="F417" s="14" t="str">
        <f aca="false">IF(OR(AND($A417="",$B417="",$C417="",$D417="",$E417=""),$I417&lt;&gt;""),"",EDATE($D417,$E417))</f>
        <v/>
      </c>
      <c r="G417" s="6" t="str">
        <f aca="false">IF(AND($A417="",$B417="",$C417="",$D417="",$E417=""),"",IF($I417&lt;&gt;"","Check details",IF($F417&lt;AsOf,"Overdue",IF($F417=AsOf,"Due today",IF($F417&lt;=AsOf+30,"Due in next 30 days","Later")))))</f>
        <v/>
      </c>
      <c r="H417" s="15" t="str">
        <f aca="false">IF($F417="","",$F417-AsOf)</f>
        <v/>
      </c>
      <c r="I417" s="16" t="str">
        <f aca="false">IF(AND($A417="",$B417="",$C417="",$D417="",$E417=""),"",TRIM(IF($A417="","Name missing. ","")&amp;IF($B417="","Site missing. ","")&amp;IF($D417="","Last service missing. ",IF(NOT(ISNUMBER($D417)),"Last service isn't a date. ",IF(OR($D417&lt;18264,$D417&lt;&gt;INT($D417)),"Last service isn't a valid date. ",IF($D417&gt;AsOf,"Last service is after the as-of date. ",""))))&amp;IF($E417="","Interval missing.",IF(NOT(ISNUMBER($E417)),"Interval must be a number.",IF($E417&lt;&gt;INT($E417),"Interval must be whole months.",IF(OR($E417&lt;1,$E417&gt;240),"Interval must be 1-240 months.",""))))))</f>
        <v/>
      </c>
      <c r="J417" s="17" t="str">
        <f aca="false">IF(AND($A417="",$B417="",$C417="",$D417="",$E417=""),"",IF('Due List'!$B$4="Check details",IF($G417="Check details",ROW(),""),IF('Due List'!$B$4="All records",IF($G417="Check details",ROW()/100000,$F417+ROW()/100000),IF(OR($G417="Overdue",$G417="Due today",$G417="Due in next 30 days"),$F417+ROW()/100000,""))))</f>
        <v/>
      </c>
    </row>
    <row r="418" customFormat="false" ht="15" hidden="false" customHeight="false" outlineLevel="0" collapsed="false">
      <c r="A418" s="11"/>
      <c r="B418" s="11"/>
      <c r="C418" s="11"/>
      <c r="D418" s="12"/>
      <c r="E418" s="13"/>
      <c r="F418" s="14" t="str">
        <f aca="false">IF(OR(AND($A418="",$B418="",$C418="",$D418="",$E418=""),$I418&lt;&gt;""),"",EDATE($D418,$E418))</f>
        <v/>
      </c>
      <c r="G418" s="6" t="str">
        <f aca="false">IF(AND($A418="",$B418="",$C418="",$D418="",$E418=""),"",IF($I418&lt;&gt;"","Check details",IF($F418&lt;AsOf,"Overdue",IF($F418=AsOf,"Due today",IF($F418&lt;=AsOf+30,"Due in next 30 days","Later")))))</f>
        <v/>
      </c>
      <c r="H418" s="15" t="str">
        <f aca="false">IF($F418="","",$F418-AsOf)</f>
        <v/>
      </c>
      <c r="I418" s="16" t="str">
        <f aca="false">IF(AND($A418="",$B418="",$C418="",$D418="",$E418=""),"",TRIM(IF($A418="","Name missing. ","")&amp;IF($B418="","Site missing. ","")&amp;IF($D418="","Last service missing. ",IF(NOT(ISNUMBER($D418)),"Last service isn't a date. ",IF(OR($D418&lt;18264,$D418&lt;&gt;INT($D418)),"Last service isn't a valid date. ",IF($D418&gt;AsOf,"Last service is after the as-of date. ",""))))&amp;IF($E418="","Interval missing.",IF(NOT(ISNUMBER($E418)),"Interval must be a number.",IF($E418&lt;&gt;INT($E418),"Interval must be whole months.",IF(OR($E418&lt;1,$E418&gt;240),"Interval must be 1-240 months.",""))))))</f>
        <v/>
      </c>
      <c r="J418" s="17" t="str">
        <f aca="false">IF(AND($A418="",$B418="",$C418="",$D418="",$E418=""),"",IF('Due List'!$B$4="Check details",IF($G418="Check details",ROW(),""),IF('Due List'!$B$4="All records",IF($G418="Check details",ROW()/100000,$F418+ROW()/100000),IF(OR($G418="Overdue",$G418="Due today",$G418="Due in next 30 days"),$F418+ROW()/100000,""))))</f>
        <v/>
      </c>
    </row>
    <row r="419" customFormat="false" ht="15" hidden="false" customHeight="false" outlineLevel="0" collapsed="false">
      <c r="A419" s="11"/>
      <c r="B419" s="11"/>
      <c r="C419" s="11"/>
      <c r="D419" s="12"/>
      <c r="E419" s="13"/>
      <c r="F419" s="14" t="str">
        <f aca="false">IF(OR(AND($A419="",$B419="",$C419="",$D419="",$E419=""),$I419&lt;&gt;""),"",EDATE($D419,$E419))</f>
        <v/>
      </c>
      <c r="G419" s="6" t="str">
        <f aca="false">IF(AND($A419="",$B419="",$C419="",$D419="",$E419=""),"",IF($I419&lt;&gt;"","Check details",IF($F419&lt;AsOf,"Overdue",IF($F419=AsOf,"Due today",IF($F419&lt;=AsOf+30,"Due in next 30 days","Later")))))</f>
        <v/>
      </c>
      <c r="H419" s="15" t="str">
        <f aca="false">IF($F419="","",$F419-AsOf)</f>
        <v/>
      </c>
      <c r="I419" s="16" t="str">
        <f aca="false">IF(AND($A419="",$B419="",$C419="",$D419="",$E419=""),"",TRIM(IF($A419="","Name missing. ","")&amp;IF($B419="","Site missing. ","")&amp;IF($D419="","Last service missing. ",IF(NOT(ISNUMBER($D419)),"Last service isn't a date. ",IF(OR($D419&lt;18264,$D419&lt;&gt;INT($D419)),"Last service isn't a valid date. ",IF($D419&gt;AsOf,"Last service is after the as-of date. ",""))))&amp;IF($E419="","Interval missing.",IF(NOT(ISNUMBER($E419)),"Interval must be a number.",IF($E419&lt;&gt;INT($E419),"Interval must be whole months.",IF(OR($E419&lt;1,$E419&gt;240),"Interval must be 1-240 months.",""))))))</f>
        <v/>
      </c>
      <c r="J419" s="17" t="str">
        <f aca="false">IF(AND($A419="",$B419="",$C419="",$D419="",$E419=""),"",IF('Due List'!$B$4="Check details",IF($G419="Check details",ROW(),""),IF('Due List'!$B$4="All records",IF($G419="Check details",ROW()/100000,$F419+ROW()/100000),IF(OR($G419="Overdue",$G419="Due today",$G419="Due in next 30 days"),$F419+ROW()/100000,""))))</f>
        <v/>
      </c>
    </row>
    <row r="420" customFormat="false" ht="15" hidden="false" customHeight="false" outlineLevel="0" collapsed="false">
      <c r="A420" s="11"/>
      <c r="B420" s="11"/>
      <c r="C420" s="11"/>
      <c r="D420" s="12"/>
      <c r="E420" s="13"/>
      <c r="F420" s="14" t="str">
        <f aca="false">IF(OR(AND($A420="",$B420="",$C420="",$D420="",$E420=""),$I420&lt;&gt;""),"",EDATE($D420,$E420))</f>
        <v/>
      </c>
      <c r="G420" s="6" t="str">
        <f aca="false">IF(AND($A420="",$B420="",$C420="",$D420="",$E420=""),"",IF($I420&lt;&gt;"","Check details",IF($F420&lt;AsOf,"Overdue",IF($F420=AsOf,"Due today",IF($F420&lt;=AsOf+30,"Due in next 30 days","Later")))))</f>
        <v/>
      </c>
      <c r="H420" s="15" t="str">
        <f aca="false">IF($F420="","",$F420-AsOf)</f>
        <v/>
      </c>
      <c r="I420" s="16" t="str">
        <f aca="false">IF(AND($A420="",$B420="",$C420="",$D420="",$E420=""),"",TRIM(IF($A420="","Name missing. ","")&amp;IF($B420="","Site missing. ","")&amp;IF($D420="","Last service missing. ",IF(NOT(ISNUMBER($D420)),"Last service isn't a date. ",IF(OR($D420&lt;18264,$D420&lt;&gt;INT($D420)),"Last service isn't a valid date. ",IF($D420&gt;AsOf,"Last service is after the as-of date. ",""))))&amp;IF($E420="","Interval missing.",IF(NOT(ISNUMBER($E420)),"Interval must be a number.",IF($E420&lt;&gt;INT($E420),"Interval must be whole months.",IF(OR($E420&lt;1,$E420&gt;240),"Interval must be 1-240 months.",""))))))</f>
        <v/>
      </c>
      <c r="J420" s="17" t="str">
        <f aca="false">IF(AND($A420="",$B420="",$C420="",$D420="",$E420=""),"",IF('Due List'!$B$4="Check details",IF($G420="Check details",ROW(),""),IF('Due List'!$B$4="All records",IF($G420="Check details",ROW()/100000,$F420+ROW()/100000),IF(OR($G420="Overdue",$G420="Due today",$G420="Due in next 30 days"),$F420+ROW()/100000,""))))</f>
        <v/>
      </c>
    </row>
    <row r="421" customFormat="false" ht="15" hidden="false" customHeight="false" outlineLevel="0" collapsed="false">
      <c r="A421" s="11"/>
      <c r="B421" s="11"/>
      <c r="C421" s="11"/>
      <c r="D421" s="12"/>
      <c r="E421" s="13"/>
      <c r="F421" s="14" t="str">
        <f aca="false">IF(OR(AND($A421="",$B421="",$C421="",$D421="",$E421=""),$I421&lt;&gt;""),"",EDATE($D421,$E421))</f>
        <v/>
      </c>
      <c r="G421" s="6" t="str">
        <f aca="false">IF(AND($A421="",$B421="",$C421="",$D421="",$E421=""),"",IF($I421&lt;&gt;"","Check details",IF($F421&lt;AsOf,"Overdue",IF($F421=AsOf,"Due today",IF($F421&lt;=AsOf+30,"Due in next 30 days","Later")))))</f>
        <v/>
      </c>
      <c r="H421" s="15" t="str">
        <f aca="false">IF($F421="","",$F421-AsOf)</f>
        <v/>
      </c>
      <c r="I421" s="16" t="str">
        <f aca="false">IF(AND($A421="",$B421="",$C421="",$D421="",$E421=""),"",TRIM(IF($A421="","Name missing. ","")&amp;IF($B421="","Site missing. ","")&amp;IF($D421="","Last service missing. ",IF(NOT(ISNUMBER($D421)),"Last service isn't a date. ",IF(OR($D421&lt;18264,$D421&lt;&gt;INT($D421)),"Last service isn't a valid date. ",IF($D421&gt;AsOf,"Last service is after the as-of date. ",""))))&amp;IF($E421="","Interval missing.",IF(NOT(ISNUMBER($E421)),"Interval must be a number.",IF($E421&lt;&gt;INT($E421),"Interval must be whole months.",IF(OR($E421&lt;1,$E421&gt;240),"Interval must be 1-240 months.",""))))))</f>
        <v/>
      </c>
      <c r="J421" s="17" t="str">
        <f aca="false">IF(AND($A421="",$B421="",$C421="",$D421="",$E421=""),"",IF('Due List'!$B$4="Check details",IF($G421="Check details",ROW(),""),IF('Due List'!$B$4="All records",IF($G421="Check details",ROW()/100000,$F421+ROW()/100000),IF(OR($G421="Overdue",$G421="Due today",$G421="Due in next 30 days"),$F421+ROW()/100000,""))))</f>
        <v/>
      </c>
    </row>
    <row r="422" customFormat="false" ht="15" hidden="false" customHeight="false" outlineLevel="0" collapsed="false">
      <c r="A422" s="11"/>
      <c r="B422" s="11"/>
      <c r="C422" s="11"/>
      <c r="D422" s="12"/>
      <c r="E422" s="13"/>
      <c r="F422" s="14" t="str">
        <f aca="false">IF(OR(AND($A422="",$B422="",$C422="",$D422="",$E422=""),$I422&lt;&gt;""),"",EDATE($D422,$E422))</f>
        <v/>
      </c>
      <c r="G422" s="6" t="str">
        <f aca="false">IF(AND($A422="",$B422="",$C422="",$D422="",$E422=""),"",IF($I422&lt;&gt;"","Check details",IF($F422&lt;AsOf,"Overdue",IF($F422=AsOf,"Due today",IF($F422&lt;=AsOf+30,"Due in next 30 days","Later")))))</f>
        <v/>
      </c>
      <c r="H422" s="15" t="str">
        <f aca="false">IF($F422="","",$F422-AsOf)</f>
        <v/>
      </c>
      <c r="I422" s="16" t="str">
        <f aca="false">IF(AND($A422="",$B422="",$C422="",$D422="",$E422=""),"",TRIM(IF($A422="","Name missing. ","")&amp;IF($B422="","Site missing. ","")&amp;IF($D422="","Last service missing. ",IF(NOT(ISNUMBER($D422)),"Last service isn't a date. ",IF(OR($D422&lt;18264,$D422&lt;&gt;INT($D422)),"Last service isn't a valid date. ",IF($D422&gt;AsOf,"Last service is after the as-of date. ",""))))&amp;IF($E422="","Interval missing.",IF(NOT(ISNUMBER($E422)),"Interval must be a number.",IF($E422&lt;&gt;INT($E422),"Interval must be whole months.",IF(OR($E422&lt;1,$E422&gt;240),"Interval must be 1-240 months.",""))))))</f>
        <v/>
      </c>
      <c r="J422" s="17" t="str">
        <f aca="false">IF(AND($A422="",$B422="",$C422="",$D422="",$E422=""),"",IF('Due List'!$B$4="Check details",IF($G422="Check details",ROW(),""),IF('Due List'!$B$4="All records",IF($G422="Check details",ROW()/100000,$F422+ROW()/100000),IF(OR($G422="Overdue",$G422="Due today",$G422="Due in next 30 days"),$F422+ROW()/100000,""))))</f>
        <v/>
      </c>
    </row>
    <row r="423" customFormat="false" ht="15" hidden="false" customHeight="false" outlineLevel="0" collapsed="false">
      <c r="A423" s="11"/>
      <c r="B423" s="11"/>
      <c r="C423" s="11"/>
      <c r="D423" s="12"/>
      <c r="E423" s="13"/>
      <c r="F423" s="14" t="str">
        <f aca="false">IF(OR(AND($A423="",$B423="",$C423="",$D423="",$E423=""),$I423&lt;&gt;""),"",EDATE($D423,$E423))</f>
        <v/>
      </c>
      <c r="G423" s="6" t="str">
        <f aca="false">IF(AND($A423="",$B423="",$C423="",$D423="",$E423=""),"",IF($I423&lt;&gt;"","Check details",IF($F423&lt;AsOf,"Overdue",IF($F423=AsOf,"Due today",IF($F423&lt;=AsOf+30,"Due in next 30 days","Later")))))</f>
        <v/>
      </c>
      <c r="H423" s="15" t="str">
        <f aca="false">IF($F423="","",$F423-AsOf)</f>
        <v/>
      </c>
      <c r="I423" s="16" t="str">
        <f aca="false">IF(AND($A423="",$B423="",$C423="",$D423="",$E423=""),"",TRIM(IF($A423="","Name missing. ","")&amp;IF($B423="","Site missing. ","")&amp;IF($D423="","Last service missing. ",IF(NOT(ISNUMBER($D423)),"Last service isn't a date. ",IF(OR($D423&lt;18264,$D423&lt;&gt;INT($D423)),"Last service isn't a valid date. ",IF($D423&gt;AsOf,"Last service is after the as-of date. ",""))))&amp;IF($E423="","Interval missing.",IF(NOT(ISNUMBER($E423)),"Interval must be a number.",IF($E423&lt;&gt;INT($E423),"Interval must be whole months.",IF(OR($E423&lt;1,$E423&gt;240),"Interval must be 1-240 months.",""))))))</f>
        <v/>
      </c>
      <c r="J423" s="17" t="str">
        <f aca="false">IF(AND($A423="",$B423="",$C423="",$D423="",$E423=""),"",IF('Due List'!$B$4="Check details",IF($G423="Check details",ROW(),""),IF('Due List'!$B$4="All records",IF($G423="Check details",ROW()/100000,$F423+ROW()/100000),IF(OR($G423="Overdue",$G423="Due today",$G423="Due in next 30 days"),$F423+ROW()/100000,""))))</f>
        <v/>
      </c>
    </row>
    <row r="424" customFormat="false" ht="15" hidden="false" customHeight="false" outlineLevel="0" collapsed="false">
      <c r="A424" s="11"/>
      <c r="B424" s="11"/>
      <c r="C424" s="11"/>
      <c r="D424" s="12"/>
      <c r="E424" s="13"/>
      <c r="F424" s="14" t="str">
        <f aca="false">IF(OR(AND($A424="",$B424="",$C424="",$D424="",$E424=""),$I424&lt;&gt;""),"",EDATE($D424,$E424))</f>
        <v/>
      </c>
      <c r="G424" s="6" t="str">
        <f aca="false">IF(AND($A424="",$B424="",$C424="",$D424="",$E424=""),"",IF($I424&lt;&gt;"","Check details",IF($F424&lt;AsOf,"Overdue",IF($F424=AsOf,"Due today",IF($F424&lt;=AsOf+30,"Due in next 30 days","Later")))))</f>
        <v/>
      </c>
      <c r="H424" s="15" t="str">
        <f aca="false">IF($F424="","",$F424-AsOf)</f>
        <v/>
      </c>
      <c r="I424" s="16" t="str">
        <f aca="false">IF(AND($A424="",$B424="",$C424="",$D424="",$E424=""),"",TRIM(IF($A424="","Name missing. ","")&amp;IF($B424="","Site missing. ","")&amp;IF($D424="","Last service missing. ",IF(NOT(ISNUMBER($D424)),"Last service isn't a date. ",IF(OR($D424&lt;18264,$D424&lt;&gt;INT($D424)),"Last service isn't a valid date. ",IF($D424&gt;AsOf,"Last service is after the as-of date. ",""))))&amp;IF($E424="","Interval missing.",IF(NOT(ISNUMBER($E424)),"Interval must be a number.",IF($E424&lt;&gt;INT($E424),"Interval must be whole months.",IF(OR($E424&lt;1,$E424&gt;240),"Interval must be 1-240 months.",""))))))</f>
        <v/>
      </c>
      <c r="J424" s="17" t="str">
        <f aca="false">IF(AND($A424="",$B424="",$C424="",$D424="",$E424=""),"",IF('Due List'!$B$4="Check details",IF($G424="Check details",ROW(),""),IF('Due List'!$B$4="All records",IF($G424="Check details",ROW()/100000,$F424+ROW()/100000),IF(OR($G424="Overdue",$G424="Due today",$G424="Due in next 30 days"),$F424+ROW()/100000,""))))</f>
        <v/>
      </c>
    </row>
    <row r="425" customFormat="false" ht="15" hidden="false" customHeight="false" outlineLevel="0" collapsed="false">
      <c r="A425" s="11"/>
      <c r="B425" s="11"/>
      <c r="C425" s="11"/>
      <c r="D425" s="12"/>
      <c r="E425" s="13"/>
      <c r="F425" s="14" t="str">
        <f aca="false">IF(OR(AND($A425="",$B425="",$C425="",$D425="",$E425=""),$I425&lt;&gt;""),"",EDATE($D425,$E425))</f>
        <v/>
      </c>
      <c r="G425" s="6" t="str">
        <f aca="false">IF(AND($A425="",$B425="",$C425="",$D425="",$E425=""),"",IF($I425&lt;&gt;"","Check details",IF($F425&lt;AsOf,"Overdue",IF($F425=AsOf,"Due today",IF($F425&lt;=AsOf+30,"Due in next 30 days","Later")))))</f>
        <v/>
      </c>
      <c r="H425" s="15" t="str">
        <f aca="false">IF($F425="","",$F425-AsOf)</f>
        <v/>
      </c>
      <c r="I425" s="16" t="str">
        <f aca="false">IF(AND($A425="",$B425="",$C425="",$D425="",$E425=""),"",TRIM(IF($A425="","Name missing. ","")&amp;IF($B425="","Site missing. ","")&amp;IF($D425="","Last service missing. ",IF(NOT(ISNUMBER($D425)),"Last service isn't a date. ",IF(OR($D425&lt;18264,$D425&lt;&gt;INT($D425)),"Last service isn't a valid date. ",IF($D425&gt;AsOf,"Last service is after the as-of date. ",""))))&amp;IF($E425="","Interval missing.",IF(NOT(ISNUMBER($E425)),"Interval must be a number.",IF($E425&lt;&gt;INT($E425),"Interval must be whole months.",IF(OR($E425&lt;1,$E425&gt;240),"Interval must be 1-240 months.",""))))))</f>
        <v/>
      </c>
      <c r="J425" s="17" t="str">
        <f aca="false">IF(AND($A425="",$B425="",$C425="",$D425="",$E425=""),"",IF('Due List'!$B$4="Check details",IF($G425="Check details",ROW(),""),IF('Due List'!$B$4="All records",IF($G425="Check details",ROW()/100000,$F425+ROW()/100000),IF(OR($G425="Overdue",$G425="Due today",$G425="Due in next 30 days"),$F425+ROW()/100000,""))))</f>
        <v/>
      </c>
    </row>
    <row r="426" customFormat="false" ht="15" hidden="false" customHeight="false" outlineLevel="0" collapsed="false">
      <c r="A426" s="11"/>
      <c r="B426" s="11"/>
      <c r="C426" s="11"/>
      <c r="D426" s="12"/>
      <c r="E426" s="13"/>
      <c r="F426" s="14" t="str">
        <f aca="false">IF(OR(AND($A426="",$B426="",$C426="",$D426="",$E426=""),$I426&lt;&gt;""),"",EDATE($D426,$E426))</f>
        <v/>
      </c>
      <c r="G426" s="6" t="str">
        <f aca="false">IF(AND($A426="",$B426="",$C426="",$D426="",$E426=""),"",IF($I426&lt;&gt;"","Check details",IF($F426&lt;AsOf,"Overdue",IF($F426=AsOf,"Due today",IF($F426&lt;=AsOf+30,"Due in next 30 days","Later")))))</f>
        <v/>
      </c>
      <c r="H426" s="15" t="str">
        <f aca="false">IF($F426="","",$F426-AsOf)</f>
        <v/>
      </c>
      <c r="I426" s="16" t="str">
        <f aca="false">IF(AND($A426="",$B426="",$C426="",$D426="",$E426=""),"",TRIM(IF($A426="","Name missing. ","")&amp;IF($B426="","Site missing. ","")&amp;IF($D426="","Last service missing. ",IF(NOT(ISNUMBER($D426)),"Last service isn't a date. ",IF(OR($D426&lt;18264,$D426&lt;&gt;INT($D426)),"Last service isn't a valid date. ",IF($D426&gt;AsOf,"Last service is after the as-of date. ",""))))&amp;IF($E426="","Interval missing.",IF(NOT(ISNUMBER($E426)),"Interval must be a number.",IF($E426&lt;&gt;INT($E426),"Interval must be whole months.",IF(OR($E426&lt;1,$E426&gt;240),"Interval must be 1-240 months.",""))))))</f>
        <v/>
      </c>
      <c r="J426" s="17" t="str">
        <f aca="false">IF(AND($A426="",$B426="",$C426="",$D426="",$E426=""),"",IF('Due List'!$B$4="Check details",IF($G426="Check details",ROW(),""),IF('Due List'!$B$4="All records",IF($G426="Check details",ROW()/100000,$F426+ROW()/100000),IF(OR($G426="Overdue",$G426="Due today",$G426="Due in next 30 days"),$F426+ROW()/100000,""))))</f>
        <v/>
      </c>
    </row>
    <row r="427" customFormat="false" ht="15" hidden="false" customHeight="false" outlineLevel="0" collapsed="false">
      <c r="A427" s="11"/>
      <c r="B427" s="11"/>
      <c r="C427" s="11"/>
      <c r="D427" s="12"/>
      <c r="E427" s="13"/>
      <c r="F427" s="14" t="str">
        <f aca="false">IF(OR(AND($A427="",$B427="",$C427="",$D427="",$E427=""),$I427&lt;&gt;""),"",EDATE($D427,$E427))</f>
        <v/>
      </c>
      <c r="G427" s="6" t="str">
        <f aca="false">IF(AND($A427="",$B427="",$C427="",$D427="",$E427=""),"",IF($I427&lt;&gt;"","Check details",IF($F427&lt;AsOf,"Overdue",IF($F427=AsOf,"Due today",IF($F427&lt;=AsOf+30,"Due in next 30 days","Later")))))</f>
        <v/>
      </c>
      <c r="H427" s="15" t="str">
        <f aca="false">IF($F427="","",$F427-AsOf)</f>
        <v/>
      </c>
      <c r="I427" s="16" t="str">
        <f aca="false">IF(AND($A427="",$B427="",$C427="",$D427="",$E427=""),"",TRIM(IF($A427="","Name missing. ","")&amp;IF($B427="","Site missing. ","")&amp;IF($D427="","Last service missing. ",IF(NOT(ISNUMBER($D427)),"Last service isn't a date. ",IF(OR($D427&lt;18264,$D427&lt;&gt;INT($D427)),"Last service isn't a valid date. ",IF($D427&gt;AsOf,"Last service is after the as-of date. ",""))))&amp;IF($E427="","Interval missing.",IF(NOT(ISNUMBER($E427)),"Interval must be a number.",IF($E427&lt;&gt;INT($E427),"Interval must be whole months.",IF(OR($E427&lt;1,$E427&gt;240),"Interval must be 1-240 months.",""))))))</f>
        <v/>
      </c>
      <c r="J427" s="17" t="str">
        <f aca="false">IF(AND($A427="",$B427="",$C427="",$D427="",$E427=""),"",IF('Due List'!$B$4="Check details",IF($G427="Check details",ROW(),""),IF('Due List'!$B$4="All records",IF($G427="Check details",ROW()/100000,$F427+ROW()/100000),IF(OR($G427="Overdue",$G427="Due today",$G427="Due in next 30 days"),$F427+ROW()/100000,""))))</f>
        <v/>
      </c>
    </row>
    <row r="428" customFormat="false" ht="15" hidden="false" customHeight="false" outlineLevel="0" collapsed="false">
      <c r="A428" s="11"/>
      <c r="B428" s="11"/>
      <c r="C428" s="11"/>
      <c r="D428" s="12"/>
      <c r="E428" s="13"/>
      <c r="F428" s="14" t="str">
        <f aca="false">IF(OR(AND($A428="",$B428="",$C428="",$D428="",$E428=""),$I428&lt;&gt;""),"",EDATE($D428,$E428))</f>
        <v/>
      </c>
      <c r="G428" s="6" t="str">
        <f aca="false">IF(AND($A428="",$B428="",$C428="",$D428="",$E428=""),"",IF($I428&lt;&gt;"","Check details",IF($F428&lt;AsOf,"Overdue",IF($F428=AsOf,"Due today",IF($F428&lt;=AsOf+30,"Due in next 30 days","Later")))))</f>
        <v/>
      </c>
      <c r="H428" s="15" t="str">
        <f aca="false">IF($F428="","",$F428-AsOf)</f>
        <v/>
      </c>
      <c r="I428" s="16" t="str">
        <f aca="false">IF(AND($A428="",$B428="",$C428="",$D428="",$E428=""),"",TRIM(IF($A428="","Name missing. ","")&amp;IF($B428="","Site missing. ","")&amp;IF($D428="","Last service missing. ",IF(NOT(ISNUMBER($D428)),"Last service isn't a date. ",IF(OR($D428&lt;18264,$D428&lt;&gt;INT($D428)),"Last service isn't a valid date. ",IF($D428&gt;AsOf,"Last service is after the as-of date. ",""))))&amp;IF($E428="","Interval missing.",IF(NOT(ISNUMBER($E428)),"Interval must be a number.",IF($E428&lt;&gt;INT($E428),"Interval must be whole months.",IF(OR($E428&lt;1,$E428&gt;240),"Interval must be 1-240 months.",""))))))</f>
        <v/>
      </c>
      <c r="J428" s="17" t="str">
        <f aca="false">IF(AND($A428="",$B428="",$C428="",$D428="",$E428=""),"",IF('Due List'!$B$4="Check details",IF($G428="Check details",ROW(),""),IF('Due List'!$B$4="All records",IF($G428="Check details",ROW()/100000,$F428+ROW()/100000),IF(OR($G428="Overdue",$G428="Due today",$G428="Due in next 30 days"),$F428+ROW()/100000,""))))</f>
        <v/>
      </c>
    </row>
    <row r="429" customFormat="false" ht="15" hidden="false" customHeight="false" outlineLevel="0" collapsed="false">
      <c r="A429" s="11"/>
      <c r="B429" s="11"/>
      <c r="C429" s="11"/>
      <c r="D429" s="12"/>
      <c r="E429" s="13"/>
      <c r="F429" s="14" t="str">
        <f aca="false">IF(OR(AND($A429="",$B429="",$C429="",$D429="",$E429=""),$I429&lt;&gt;""),"",EDATE($D429,$E429))</f>
        <v/>
      </c>
      <c r="G429" s="6" t="str">
        <f aca="false">IF(AND($A429="",$B429="",$C429="",$D429="",$E429=""),"",IF($I429&lt;&gt;"","Check details",IF($F429&lt;AsOf,"Overdue",IF($F429=AsOf,"Due today",IF($F429&lt;=AsOf+30,"Due in next 30 days","Later")))))</f>
        <v/>
      </c>
      <c r="H429" s="15" t="str">
        <f aca="false">IF($F429="","",$F429-AsOf)</f>
        <v/>
      </c>
      <c r="I429" s="16" t="str">
        <f aca="false">IF(AND($A429="",$B429="",$C429="",$D429="",$E429=""),"",TRIM(IF($A429="","Name missing. ","")&amp;IF($B429="","Site missing. ","")&amp;IF($D429="","Last service missing. ",IF(NOT(ISNUMBER($D429)),"Last service isn't a date. ",IF(OR($D429&lt;18264,$D429&lt;&gt;INT($D429)),"Last service isn't a valid date. ",IF($D429&gt;AsOf,"Last service is after the as-of date. ",""))))&amp;IF($E429="","Interval missing.",IF(NOT(ISNUMBER($E429)),"Interval must be a number.",IF($E429&lt;&gt;INT($E429),"Interval must be whole months.",IF(OR($E429&lt;1,$E429&gt;240),"Interval must be 1-240 months.",""))))))</f>
        <v/>
      </c>
      <c r="J429" s="17" t="str">
        <f aca="false">IF(AND($A429="",$B429="",$C429="",$D429="",$E429=""),"",IF('Due List'!$B$4="Check details",IF($G429="Check details",ROW(),""),IF('Due List'!$B$4="All records",IF($G429="Check details",ROW()/100000,$F429+ROW()/100000),IF(OR($G429="Overdue",$G429="Due today",$G429="Due in next 30 days"),$F429+ROW()/100000,""))))</f>
        <v/>
      </c>
    </row>
    <row r="430" customFormat="false" ht="15" hidden="false" customHeight="false" outlineLevel="0" collapsed="false">
      <c r="A430" s="11"/>
      <c r="B430" s="11"/>
      <c r="C430" s="11"/>
      <c r="D430" s="12"/>
      <c r="E430" s="13"/>
      <c r="F430" s="14" t="str">
        <f aca="false">IF(OR(AND($A430="",$B430="",$C430="",$D430="",$E430=""),$I430&lt;&gt;""),"",EDATE($D430,$E430))</f>
        <v/>
      </c>
      <c r="G430" s="6" t="str">
        <f aca="false">IF(AND($A430="",$B430="",$C430="",$D430="",$E430=""),"",IF($I430&lt;&gt;"","Check details",IF($F430&lt;AsOf,"Overdue",IF($F430=AsOf,"Due today",IF($F430&lt;=AsOf+30,"Due in next 30 days","Later")))))</f>
        <v/>
      </c>
      <c r="H430" s="15" t="str">
        <f aca="false">IF($F430="","",$F430-AsOf)</f>
        <v/>
      </c>
      <c r="I430" s="16" t="str">
        <f aca="false">IF(AND($A430="",$B430="",$C430="",$D430="",$E430=""),"",TRIM(IF($A430="","Name missing. ","")&amp;IF($B430="","Site missing. ","")&amp;IF($D430="","Last service missing. ",IF(NOT(ISNUMBER($D430)),"Last service isn't a date. ",IF(OR($D430&lt;18264,$D430&lt;&gt;INT($D430)),"Last service isn't a valid date. ",IF($D430&gt;AsOf,"Last service is after the as-of date. ",""))))&amp;IF($E430="","Interval missing.",IF(NOT(ISNUMBER($E430)),"Interval must be a number.",IF($E430&lt;&gt;INT($E430),"Interval must be whole months.",IF(OR($E430&lt;1,$E430&gt;240),"Interval must be 1-240 months.",""))))))</f>
        <v/>
      </c>
      <c r="J430" s="17" t="str">
        <f aca="false">IF(AND($A430="",$B430="",$C430="",$D430="",$E430=""),"",IF('Due List'!$B$4="Check details",IF($G430="Check details",ROW(),""),IF('Due List'!$B$4="All records",IF($G430="Check details",ROW()/100000,$F430+ROW()/100000),IF(OR($G430="Overdue",$G430="Due today",$G430="Due in next 30 days"),$F430+ROW()/100000,""))))</f>
        <v/>
      </c>
    </row>
    <row r="431" customFormat="false" ht="15" hidden="false" customHeight="false" outlineLevel="0" collapsed="false">
      <c r="A431" s="11"/>
      <c r="B431" s="11"/>
      <c r="C431" s="11"/>
      <c r="D431" s="12"/>
      <c r="E431" s="13"/>
      <c r="F431" s="14" t="str">
        <f aca="false">IF(OR(AND($A431="",$B431="",$C431="",$D431="",$E431=""),$I431&lt;&gt;""),"",EDATE($D431,$E431))</f>
        <v/>
      </c>
      <c r="G431" s="6" t="str">
        <f aca="false">IF(AND($A431="",$B431="",$C431="",$D431="",$E431=""),"",IF($I431&lt;&gt;"","Check details",IF($F431&lt;AsOf,"Overdue",IF($F431=AsOf,"Due today",IF($F431&lt;=AsOf+30,"Due in next 30 days","Later")))))</f>
        <v/>
      </c>
      <c r="H431" s="15" t="str">
        <f aca="false">IF($F431="","",$F431-AsOf)</f>
        <v/>
      </c>
      <c r="I431" s="16" t="str">
        <f aca="false">IF(AND($A431="",$B431="",$C431="",$D431="",$E431=""),"",TRIM(IF($A431="","Name missing. ","")&amp;IF($B431="","Site missing. ","")&amp;IF($D431="","Last service missing. ",IF(NOT(ISNUMBER($D431)),"Last service isn't a date. ",IF(OR($D431&lt;18264,$D431&lt;&gt;INT($D431)),"Last service isn't a valid date. ",IF($D431&gt;AsOf,"Last service is after the as-of date. ",""))))&amp;IF($E431="","Interval missing.",IF(NOT(ISNUMBER($E431)),"Interval must be a number.",IF($E431&lt;&gt;INT($E431),"Interval must be whole months.",IF(OR($E431&lt;1,$E431&gt;240),"Interval must be 1-240 months.",""))))))</f>
        <v/>
      </c>
      <c r="J431" s="17" t="str">
        <f aca="false">IF(AND($A431="",$B431="",$C431="",$D431="",$E431=""),"",IF('Due List'!$B$4="Check details",IF($G431="Check details",ROW(),""),IF('Due List'!$B$4="All records",IF($G431="Check details",ROW()/100000,$F431+ROW()/100000),IF(OR($G431="Overdue",$G431="Due today",$G431="Due in next 30 days"),$F431+ROW()/100000,""))))</f>
        <v/>
      </c>
    </row>
    <row r="432" customFormat="false" ht="15" hidden="false" customHeight="false" outlineLevel="0" collapsed="false">
      <c r="A432" s="11"/>
      <c r="B432" s="11"/>
      <c r="C432" s="11"/>
      <c r="D432" s="12"/>
      <c r="E432" s="13"/>
      <c r="F432" s="14" t="str">
        <f aca="false">IF(OR(AND($A432="",$B432="",$C432="",$D432="",$E432=""),$I432&lt;&gt;""),"",EDATE($D432,$E432))</f>
        <v/>
      </c>
      <c r="G432" s="6" t="str">
        <f aca="false">IF(AND($A432="",$B432="",$C432="",$D432="",$E432=""),"",IF($I432&lt;&gt;"","Check details",IF($F432&lt;AsOf,"Overdue",IF($F432=AsOf,"Due today",IF($F432&lt;=AsOf+30,"Due in next 30 days","Later")))))</f>
        <v/>
      </c>
      <c r="H432" s="15" t="str">
        <f aca="false">IF($F432="","",$F432-AsOf)</f>
        <v/>
      </c>
      <c r="I432" s="16" t="str">
        <f aca="false">IF(AND($A432="",$B432="",$C432="",$D432="",$E432=""),"",TRIM(IF($A432="","Name missing. ","")&amp;IF($B432="","Site missing. ","")&amp;IF($D432="","Last service missing. ",IF(NOT(ISNUMBER($D432)),"Last service isn't a date. ",IF(OR($D432&lt;18264,$D432&lt;&gt;INT($D432)),"Last service isn't a valid date. ",IF($D432&gt;AsOf,"Last service is after the as-of date. ",""))))&amp;IF($E432="","Interval missing.",IF(NOT(ISNUMBER($E432)),"Interval must be a number.",IF($E432&lt;&gt;INT($E432),"Interval must be whole months.",IF(OR($E432&lt;1,$E432&gt;240),"Interval must be 1-240 months.",""))))))</f>
        <v/>
      </c>
      <c r="J432" s="17" t="str">
        <f aca="false">IF(AND($A432="",$B432="",$C432="",$D432="",$E432=""),"",IF('Due List'!$B$4="Check details",IF($G432="Check details",ROW(),""),IF('Due List'!$B$4="All records",IF($G432="Check details",ROW()/100000,$F432+ROW()/100000),IF(OR($G432="Overdue",$G432="Due today",$G432="Due in next 30 days"),$F432+ROW()/100000,""))))</f>
        <v/>
      </c>
    </row>
    <row r="433" customFormat="false" ht="15" hidden="false" customHeight="false" outlineLevel="0" collapsed="false">
      <c r="A433" s="11"/>
      <c r="B433" s="11"/>
      <c r="C433" s="11"/>
      <c r="D433" s="12"/>
      <c r="E433" s="13"/>
      <c r="F433" s="14" t="str">
        <f aca="false">IF(OR(AND($A433="",$B433="",$C433="",$D433="",$E433=""),$I433&lt;&gt;""),"",EDATE($D433,$E433))</f>
        <v/>
      </c>
      <c r="G433" s="6" t="str">
        <f aca="false">IF(AND($A433="",$B433="",$C433="",$D433="",$E433=""),"",IF($I433&lt;&gt;"","Check details",IF($F433&lt;AsOf,"Overdue",IF($F433=AsOf,"Due today",IF($F433&lt;=AsOf+30,"Due in next 30 days","Later")))))</f>
        <v/>
      </c>
      <c r="H433" s="15" t="str">
        <f aca="false">IF($F433="","",$F433-AsOf)</f>
        <v/>
      </c>
      <c r="I433" s="16" t="str">
        <f aca="false">IF(AND($A433="",$B433="",$C433="",$D433="",$E433=""),"",TRIM(IF($A433="","Name missing. ","")&amp;IF($B433="","Site missing. ","")&amp;IF($D433="","Last service missing. ",IF(NOT(ISNUMBER($D433)),"Last service isn't a date. ",IF(OR($D433&lt;18264,$D433&lt;&gt;INT($D433)),"Last service isn't a valid date. ",IF($D433&gt;AsOf,"Last service is after the as-of date. ",""))))&amp;IF($E433="","Interval missing.",IF(NOT(ISNUMBER($E433)),"Interval must be a number.",IF($E433&lt;&gt;INT($E433),"Interval must be whole months.",IF(OR($E433&lt;1,$E433&gt;240),"Interval must be 1-240 months.",""))))))</f>
        <v/>
      </c>
      <c r="J433" s="17" t="str">
        <f aca="false">IF(AND($A433="",$B433="",$C433="",$D433="",$E433=""),"",IF('Due List'!$B$4="Check details",IF($G433="Check details",ROW(),""),IF('Due List'!$B$4="All records",IF($G433="Check details",ROW()/100000,$F433+ROW()/100000),IF(OR($G433="Overdue",$G433="Due today",$G433="Due in next 30 days"),$F433+ROW()/100000,""))))</f>
        <v/>
      </c>
    </row>
    <row r="434" customFormat="false" ht="15" hidden="false" customHeight="false" outlineLevel="0" collapsed="false">
      <c r="A434" s="11"/>
      <c r="B434" s="11"/>
      <c r="C434" s="11"/>
      <c r="D434" s="12"/>
      <c r="E434" s="13"/>
      <c r="F434" s="14" t="str">
        <f aca="false">IF(OR(AND($A434="",$B434="",$C434="",$D434="",$E434=""),$I434&lt;&gt;""),"",EDATE($D434,$E434))</f>
        <v/>
      </c>
      <c r="G434" s="6" t="str">
        <f aca="false">IF(AND($A434="",$B434="",$C434="",$D434="",$E434=""),"",IF($I434&lt;&gt;"","Check details",IF($F434&lt;AsOf,"Overdue",IF($F434=AsOf,"Due today",IF($F434&lt;=AsOf+30,"Due in next 30 days","Later")))))</f>
        <v/>
      </c>
      <c r="H434" s="15" t="str">
        <f aca="false">IF($F434="","",$F434-AsOf)</f>
        <v/>
      </c>
      <c r="I434" s="16" t="str">
        <f aca="false">IF(AND($A434="",$B434="",$C434="",$D434="",$E434=""),"",TRIM(IF($A434="","Name missing. ","")&amp;IF($B434="","Site missing. ","")&amp;IF($D434="","Last service missing. ",IF(NOT(ISNUMBER($D434)),"Last service isn't a date. ",IF(OR($D434&lt;18264,$D434&lt;&gt;INT($D434)),"Last service isn't a valid date. ",IF($D434&gt;AsOf,"Last service is after the as-of date. ",""))))&amp;IF($E434="","Interval missing.",IF(NOT(ISNUMBER($E434)),"Interval must be a number.",IF($E434&lt;&gt;INT($E434),"Interval must be whole months.",IF(OR($E434&lt;1,$E434&gt;240),"Interval must be 1-240 months.",""))))))</f>
        <v/>
      </c>
      <c r="J434" s="17" t="str">
        <f aca="false">IF(AND($A434="",$B434="",$C434="",$D434="",$E434=""),"",IF('Due List'!$B$4="Check details",IF($G434="Check details",ROW(),""),IF('Due List'!$B$4="All records",IF($G434="Check details",ROW()/100000,$F434+ROW()/100000),IF(OR($G434="Overdue",$G434="Due today",$G434="Due in next 30 days"),$F434+ROW()/100000,""))))</f>
        <v/>
      </c>
    </row>
    <row r="435" customFormat="false" ht="15" hidden="false" customHeight="false" outlineLevel="0" collapsed="false">
      <c r="A435" s="11"/>
      <c r="B435" s="11"/>
      <c r="C435" s="11"/>
      <c r="D435" s="12"/>
      <c r="E435" s="13"/>
      <c r="F435" s="14" t="str">
        <f aca="false">IF(OR(AND($A435="",$B435="",$C435="",$D435="",$E435=""),$I435&lt;&gt;""),"",EDATE($D435,$E435))</f>
        <v/>
      </c>
      <c r="G435" s="6" t="str">
        <f aca="false">IF(AND($A435="",$B435="",$C435="",$D435="",$E435=""),"",IF($I435&lt;&gt;"","Check details",IF($F435&lt;AsOf,"Overdue",IF($F435=AsOf,"Due today",IF($F435&lt;=AsOf+30,"Due in next 30 days","Later")))))</f>
        <v/>
      </c>
      <c r="H435" s="15" t="str">
        <f aca="false">IF($F435="","",$F435-AsOf)</f>
        <v/>
      </c>
      <c r="I435" s="16" t="str">
        <f aca="false">IF(AND($A435="",$B435="",$C435="",$D435="",$E435=""),"",TRIM(IF($A435="","Name missing. ","")&amp;IF($B435="","Site missing. ","")&amp;IF($D435="","Last service missing. ",IF(NOT(ISNUMBER($D435)),"Last service isn't a date. ",IF(OR($D435&lt;18264,$D435&lt;&gt;INT($D435)),"Last service isn't a valid date. ",IF($D435&gt;AsOf,"Last service is after the as-of date. ",""))))&amp;IF($E435="","Interval missing.",IF(NOT(ISNUMBER($E435)),"Interval must be a number.",IF($E435&lt;&gt;INT($E435),"Interval must be whole months.",IF(OR($E435&lt;1,$E435&gt;240),"Interval must be 1-240 months.",""))))))</f>
        <v/>
      </c>
      <c r="J435" s="17" t="str">
        <f aca="false">IF(AND($A435="",$B435="",$C435="",$D435="",$E435=""),"",IF('Due List'!$B$4="Check details",IF($G435="Check details",ROW(),""),IF('Due List'!$B$4="All records",IF($G435="Check details",ROW()/100000,$F435+ROW()/100000),IF(OR($G435="Overdue",$G435="Due today",$G435="Due in next 30 days"),$F435+ROW()/100000,""))))</f>
        <v/>
      </c>
    </row>
    <row r="436" customFormat="false" ht="15" hidden="false" customHeight="false" outlineLevel="0" collapsed="false">
      <c r="A436" s="11"/>
      <c r="B436" s="11"/>
      <c r="C436" s="11"/>
      <c r="D436" s="12"/>
      <c r="E436" s="13"/>
      <c r="F436" s="14" t="str">
        <f aca="false">IF(OR(AND($A436="",$B436="",$C436="",$D436="",$E436=""),$I436&lt;&gt;""),"",EDATE($D436,$E436))</f>
        <v/>
      </c>
      <c r="G436" s="6" t="str">
        <f aca="false">IF(AND($A436="",$B436="",$C436="",$D436="",$E436=""),"",IF($I436&lt;&gt;"","Check details",IF($F436&lt;AsOf,"Overdue",IF($F436=AsOf,"Due today",IF($F436&lt;=AsOf+30,"Due in next 30 days","Later")))))</f>
        <v/>
      </c>
      <c r="H436" s="15" t="str">
        <f aca="false">IF($F436="","",$F436-AsOf)</f>
        <v/>
      </c>
      <c r="I436" s="16" t="str">
        <f aca="false">IF(AND($A436="",$B436="",$C436="",$D436="",$E436=""),"",TRIM(IF($A436="","Name missing. ","")&amp;IF($B436="","Site missing. ","")&amp;IF($D436="","Last service missing. ",IF(NOT(ISNUMBER($D436)),"Last service isn't a date. ",IF(OR($D436&lt;18264,$D436&lt;&gt;INT($D436)),"Last service isn't a valid date. ",IF($D436&gt;AsOf,"Last service is after the as-of date. ",""))))&amp;IF($E436="","Interval missing.",IF(NOT(ISNUMBER($E436)),"Interval must be a number.",IF($E436&lt;&gt;INT($E436),"Interval must be whole months.",IF(OR($E436&lt;1,$E436&gt;240),"Interval must be 1-240 months.",""))))))</f>
        <v/>
      </c>
      <c r="J436" s="17" t="str">
        <f aca="false">IF(AND($A436="",$B436="",$C436="",$D436="",$E436=""),"",IF('Due List'!$B$4="Check details",IF($G436="Check details",ROW(),""),IF('Due List'!$B$4="All records",IF($G436="Check details",ROW()/100000,$F436+ROW()/100000),IF(OR($G436="Overdue",$G436="Due today",$G436="Due in next 30 days"),$F436+ROW()/100000,""))))</f>
        <v/>
      </c>
    </row>
    <row r="437" customFormat="false" ht="15" hidden="false" customHeight="false" outlineLevel="0" collapsed="false">
      <c r="A437" s="11"/>
      <c r="B437" s="11"/>
      <c r="C437" s="11"/>
      <c r="D437" s="12"/>
      <c r="E437" s="13"/>
      <c r="F437" s="14" t="str">
        <f aca="false">IF(OR(AND($A437="",$B437="",$C437="",$D437="",$E437=""),$I437&lt;&gt;""),"",EDATE($D437,$E437))</f>
        <v/>
      </c>
      <c r="G437" s="6" t="str">
        <f aca="false">IF(AND($A437="",$B437="",$C437="",$D437="",$E437=""),"",IF($I437&lt;&gt;"","Check details",IF($F437&lt;AsOf,"Overdue",IF($F437=AsOf,"Due today",IF($F437&lt;=AsOf+30,"Due in next 30 days","Later")))))</f>
        <v/>
      </c>
      <c r="H437" s="15" t="str">
        <f aca="false">IF($F437="","",$F437-AsOf)</f>
        <v/>
      </c>
      <c r="I437" s="16" t="str">
        <f aca="false">IF(AND($A437="",$B437="",$C437="",$D437="",$E437=""),"",TRIM(IF($A437="","Name missing. ","")&amp;IF($B437="","Site missing. ","")&amp;IF($D437="","Last service missing. ",IF(NOT(ISNUMBER($D437)),"Last service isn't a date. ",IF(OR($D437&lt;18264,$D437&lt;&gt;INT($D437)),"Last service isn't a valid date. ",IF($D437&gt;AsOf,"Last service is after the as-of date. ",""))))&amp;IF($E437="","Interval missing.",IF(NOT(ISNUMBER($E437)),"Interval must be a number.",IF($E437&lt;&gt;INT($E437),"Interval must be whole months.",IF(OR($E437&lt;1,$E437&gt;240),"Interval must be 1-240 months.",""))))))</f>
        <v/>
      </c>
      <c r="J437" s="17" t="str">
        <f aca="false">IF(AND($A437="",$B437="",$C437="",$D437="",$E437=""),"",IF('Due List'!$B$4="Check details",IF($G437="Check details",ROW(),""),IF('Due List'!$B$4="All records",IF($G437="Check details",ROW()/100000,$F437+ROW()/100000),IF(OR($G437="Overdue",$G437="Due today",$G437="Due in next 30 days"),$F437+ROW()/100000,""))))</f>
        <v/>
      </c>
    </row>
    <row r="438" customFormat="false" ht="15" hidden="false" customHeight="false" outlineLevel="0" collapsed="false">
      <c r="A438" s="11"/>
      <c r="B438" s="11"/>
      <c r="C438" s="11"/>
      <c r="D438" s="12"/>
      <c r="E438" s="13"/>
      <c r="F438" s="14" t="str">
        <f aca="false">IF(OR(AND($A438="",$B438="",$C438="",$D438="",$E438=""),$I438&lt;&gt;""),"",EDATE($D438,$E438))</f>
        <v/>
      </c>
      <c r="G438" s="6" t="str">
        <f aca="false">IF(AND($A438="",$B438="",$C438="",$D438="",$E438=""),"",IF($I438&lt;&gt;"","Check details",IF($F438&lt;AsOf,"Overdue",IF($F438=AsOf,"Due today",IF($F438&lt;=AsOf+30,"Due in next 30 days","Later")))))</f>
        <v/>
      </c>
      <c r="H438" s="15" t="str">
        <f aca="false">IF($F438="","",$F438-AsOf)</f>
        <v/>
      </c>
      <c r="I438" s="16" t="str">
        <f aca="false">IF(AND($A438="",$B438="",$C438="",$D438="",$E438=""),"",TRIM(IF($A438="","Name missing. ","")&amp;IF($B438="","Site missing. ","")&amp;IF($D438="","Last service missing. ",IF(NOT(ISNUMBER($D438)),"Last service isn't a date. ",IF(OR($D438&lt;18264,$D438&lt;&gt;INT($D438)),"Last service isn't a valid date. ",IF($D438&gt;AsOf,"Last service is after the as-of date. ",""))))&amp;IF($E438="","Interval missing.",IF(NOT(ISNUMBER($E438)),"Interval must be a number.",IF($E438&lt;&gt;INT($E438),"Interval must be whole months.",IF(OR($E438&lt;1,$E438&gt;240),"Interval must be 1-240 months.",""))))))</f>
        <v/>
      </c>
      <c r="J438" s="17" t="str">
        <f aca="false">IF(AND($A438="",$B438="",$C438="",$D438="",$E438=""),"",IF('Due List'!$B$4="Check details",IF($G438="Check details",ROW(),""),IF('Due List'!$B$4="All records",IF($G438="Check details",ROW()/100000,$F438+ROW()/100000),IF(OR($G438="Overdue",$G438="Due today",$G438="Due in next 30 days"),$F438+ROW()/100000,""))))</f>
        <v/>
      </c>
    </row>
    <row r="439" customFormat="false" ht="15" hidden="false" customHeight="false" outlineLevel="0" collapsed="false">
      <c r="A439" s="11"/>
      <c r="B439" s="11"/>
      <c r="C439" s="11"/>
      <c r="D439" s="12"/>
      <c r="E439" s="13"/>
      <c r="F439" s="14" t="str">
        <f aca="false">IF(OR(AND($A439="",$B439="",$C439="",$D439="",$E439=""),$I439&lt;&gt;""),"",EDATE($D439,$E439))</f>
        <v/>
      </c>
      <c r="G439" s="6" t="str">
        <f aca="false">IF(AND($A439="",$B439="",$C439="",$D439="",$E439=""),"",IF($I439&lt;&gt;"","Check details",IF($F439&lt;AsOf,"Overdue",IF($F439=AsOf,"Due today",IF($F439&lt;=AsOf+30,"Due in next 30 days","Later")))))</f>
        <v/>
      </c>
      <c r="H439" s="15" t="str">
        <f aca="false">IF($F439="","",$F439-AsOf)</f>
        <v/>
      </c>
      <c r="I439" s="16" t="str">
        <f aca="false">IF(AND($A439="",$B439="",$C439="",$D439="",$E439=""),"",TRIM(IF($A439="","Name missing. ","")&amp;IF($B439="","Site missing. ","")&amp;IF($D439="","Last service missing. ",IF(NOT(ISNUMBER($D439)),"Last service isn't a date. ",IF(OR($D439&lt;18264,$D439&lt;&gt;INT($D439)),"Last service isn't a valid date. ",IF($D439&gt;AsOf,"Last service is after the as-of date. ",""))))&amp;IF($E439="","Interval missing.",IF(NOT(ISNUMBER($E439)),"Interval must be a number.",IF($E439&lt;&gt;INT($E439),"Interval must be whole months.",IF(OR($E439&lt;1,$E439&gt;240),"Interval must be 1-240 months.",""))))))</f>
        <v/>
      </c>
      <c r="J439" s="17" t="str">
        <f aca="false">IF(AND($A439="",$B439="",$C439="",$D439="",$E439=""),"",IF('Due List'!$B$4="Check details",IF($G439="Check details",ROW(),""),IF('Due List'!$B$4="All records",IF($G439="Check details",ROW()/100000,$F439+ROW()/100000),IF(OR($G439="Overdue",$G439="Due today",$G439="Due in next 30 days"),$F439+ROW()/100000,""))))</f>
        <v/>
      </c>
    </row>
    <row r="440" customFormat="false" ht="15" hidden="false" customHeight="false" outlineLevel="0" collapsed="false">
      <c r="A440" s="11"/>
      <c r="B440" s="11"/>
      <c r="C440" s="11"/>
      <c r="D440" s="12"/>
      <c r="E440" s="13"/>
      <c r="F440" s="14" t="str">
        <f aca="false">IF(OR(AND($A440="",$B440="",$C440="",$D440="",$E440=""),$I440&lt;&gt;""),"",EDATE($D440,$E440))</f>
        <v/>
      </c>
      <c r="G440" s="6" t="str">
        <f aca="false">IF(AND($A440="",$B440="",$C440="",$D440="",$E440=""),"",IF($I440&lt;&gt;"","Check details",IF($F440&lt;AsOf,"Overdue",IF($F440=AsOf,"Due today",IF($F440&lt;=AsOf+30,"Due in next 30 days","Later")))))</f>
        <v/>
      </c>
      <c r="H440" s="15" t="str">
        <f aca="false">IF($F440="","",$F440-AsOf)</f>
        <v/>
      </c>
      <c r="I440" s="16" t="str">
        <f aca="false">IF(AND($A440="",$B440="",$C440="",$D440="",$E440=""),"",TRIM(IF($A440="","Name missing. ","")&amp;IF($B440="","Site missing. ","")&amp;IF($D440="","Last service missing. ",IF(NOT(ISNUMBER($D440)),"Last service isn't a date. ",IF(OR($D440&lt;18264,$D440&lt;&gt;INT($D440)),"Last service isn't a valid date. ",IF($D440&gt;AsOf,"Last service is after the as-of date. ",""))))&amp;IF($E440="","Interval missing.",IF(NOT(ISNUMBER($E440)),"Interval must be a number.",IF($E440&lt;&gt;INT($E440),"Interval must be whole months.",IF(OR($E440&lt;1,$E440&gt;240),"Interval must be 1-240 months.",""))))))</f>
        <v/>
      </c>
      <c r="J440" s="17" t="str">
        <f aca="false">IF(AND($A440="",$B440="",$C440="",$D440="",$E440=""),"",IF('Due List'!$B$4="Check details",IF($G440="Check details",ROW(),""),IF('Due List'!$B$4="All records",IF($G440="Check details",ROW()/100000,$F440+ROW()/100000),IF(OR($G440="Overdue",$G440="Due today",$G440="Due in next 30 days"),$F440+ROW()/100000,""))))</f>
        <v/>
      </c>
    </row>
    <row r="441" customFormat="false" ht="15" hidden="false" customHeight="false" outlineLevel="0" collapsed="false">
      <c r="A441" s="11"/>
      <c r="B441" s="11"/>
      <c r="C441" s="11"/>
      <c r="D441" s="12"/>
      <c r="E441" s="13"/>
      <c r="F441" s="14" t="str">
        <f aca="false">IF(OR(AND($A441="",$B441="",$C441="",$D441="",$E441=""),$I441&lt;&gt;""),"",EDATE($D441,$E441))</f>
        <v/>
      </c>
      <c r="G441" s="6" t="str">
        <f aca="false">IF(AND($A441="",$B441="",$C441="",$D441="",$E441=""),"",IF($I441&lt;&gt;"","Check details",IF($F441&lt;AsOf,"Overdue",IF($F441=AsOf,"Due today",IF($F441&lt;=AsOf+30,"Due in next 30 days","Later")))))</f>
        <v/>
      </c>
      <c r="H441" s="15" t="str">
        <f aca="false">IF($F441="","",$F441-AsOf)</f>
        <v/>
      </c>
      <c r="I441" s="16" t="str">
        <f aca="false">IF(AND($A441="",$B441="",$C441="",$D441="",$E441=""),"",TRIM(IF($A441="","Name missing. ","")&amp;IF($B441="","Site missing. ","")&amp;IF($D441="","Last service missing. ",IF(NOT(ISNUMBER($D441)),"Last service isn't a date. ",IF(OR($D441&lt;18264,$D441&lt;&gt;INT($D441)),"Last service isn't a valid date. ",IF($D441&gt;AsOf,"Last service is after the as-of date. ",""))))&amp;IF($E441="","Interval missing.",IF(NOT(ISNUMBER($E441)),"Interval must be a number.",IF($E441&lt;&gt;INT($E441),"Interval must be whole months.",IF(OR($E441&lt;1,$E441&gt;240),"Interval must be 1-240 months.",""))))))</f>
        <v/>
      </c>
      <c r="J441" s="17" t="str">
        <f aca="false">IF(AND($A441="",$B441="",$C441="",$D441="",$E441=""),"",IF('Due List'!$B$4="Check details",IF($G441="Check details",ROW(),""),IF('Due List'!$B$4="All records",IF($G441="Check details",ROW()/100000,$F441+ROW()/100000),IF(OR($G441="Overdue",$G441="Due today",$G441="Due in next 30 days"),$F441+ROW()/100000,""))))</f>
        <v/>
      </c>
    </row>
    <row r="442" customFormat="false" ht="15" hidden="false" customHeight="false" outlineLevel="0" collapsed="false">
      <c r="A442" s="11"/>
      <c r="B442" s="11"/>
      <c r="C442" s="11"/>
      <c r="D442" s="12"/>
      <c r="E442" s="13"/>
      <c r="F442" s="14" t="str">
        <f aca="false">IF(OR(AND($A442="",$B442="",$C442="",$D442="",$E442=""),$I442&lt;&gt;""),"",EDATE($D442,$E442))</f>
        <v/>
      </c>
      <c r="G442" s="6" t="str">
        <f aca="false">IF(AND($A442="",$B442="",$C442="",$D442="",$E442=""),"",IF($I442&lt;&gt;"","Check details",IF($F442&lt;AsOf,"Overdue",IF($F442=AsOf,"Due today",IF($F442&lt;=AsOf+30,"Due in next 30 days","Later")))))</f>
        <v/>
      </c>
      <c r="H442" s="15" t="str">
        <f aca="false">IF($F442="","",$F442-AsOf)</f>
        <v/>
      </c>
      <c r="I442" s="16" t="str">
        <f aca="false">IF(AND($A442="",$B442="",$C442="",$D442="",$E442=""),"",TRIM(IF($A442="","Name missing. ","")&amp;IF($B442="","Site missing. ","")&amp;IF($D442="","Last service missing. ",IF(NOT(ISNUMBER($D442)),"Last service isn't a date. ",IF(OR($D442&lt;18264,$D442&lt;&gt;INT($D442)),"Last service isn't a valid date. ",IF($D442&gt;AsOf,"Last service is after the as-of date. ",""))))&amp;IF($E442="","Interval missing.",IF(NOT(ISNUMBER($E442)),"Interval must be a number.",IF($E442&lt;&gt;INT($E442),"Interval must be whole months.",IF(OR($E442&lt;1,$E442&gt;240),"Interval must be 1-240 months.",""))))))</f>
        <v/>
      </c>
      <c r="J442" s="17" t="str">
        <f aca="false">IF(AND($A442="",$B442="",$C442="",$D442="",$E442=""),"",IF('Due List'!$B$4="Check details",IF($G442="Check details",ROW(),""),IF('Due List'!$B$4="All records",IF($G442="Check details",ROW()/100000,$F442+ROW()/100000),IF(OR($G442="Overdue",$G442="Due today",$G442="Due in next 30 days"),$F442+ROW()/100000,""))))</f>
        <v/>
      </c>
    </row>
    <row r="443" customFormat="false" ht="15" hidden="false" customHeight="false" outlineLevel="0" collapsed="false">
      <c r="A443" s="11"/>
      <c r="B443" s="11"/>
      <c r="C443" s="11"/>
      <c r="D443" s="12"/>
      <c r="E443" s="13"/>
      <c r="F443" s="14" t="str">
        <f aca="false">IF(OR(AND($A443="",$B443="",$C443="",$D443="",$E443=""),$I443&lt;&gt;""),"",EDATE($D443,$E443))</f>
        <v/>
      </c>
      <c r="G443" s="6" t="str">
        <f aca="false">IF(AND($A443="",$B443="",$C443="",$D443="",$E443=""),"",IF($I443&lt;&gt;"","Check details",IF($F443&lt;AsOf,"Overdue",IF($F443=AsOf,"Due today",IF($F443&lt;=AsOf+30,"Due in next 30 days","Later")))))</f>
        <v/>
      </c>
      <c r="H443" s="15" t="str">
        <f aca="false">IF($F443="","",$F443-AsOf)</f>
        <v/>
      </c>
      <c r="I443" s="16" t="str">
        <f aca="false">IF(AND($A443="",$B443="",$C443="",$D443="",$E443=""),"",TRIM(IF($A443="","Name missing. ","")&amp;IF($B443="","Site missing. ","")&amp;IF($D443="","Last service missing. ",IF(NOT(ISNUMBER($D443)),"Last service isn't a date. ",IF(OR($D443&lt;18264,$D443&lt;&gt;INT($D443)),"Last service isn't a valid date. ",IF($D443&gt;AsOf,"Last service is after the as-of date. ",""))))&amp;IF($E443="","Interval missing.",IF(NOT(ISNUMBER($E443)),"Interval must be a number.",IF($E443&lt;&gt;INT($E443),"Interval must be whole months.",IF(OR($E443&lt;1,$E443&gt;240),"Interval must be 1-240 months.",""))))))</f>
        <v/>
      </c>
      <c r="J443" s="17" t="str">
        <f aca="false">IF(AND($A443="",$B443="",$C443="",$D443="",$E443=""),"",IF('Due List'!$B$4="Check details",IF($G443="Check details",ROW(),""),IF('Due List'!$B$4="All records",IF($G443="Check details",ROW()/100000,$F443+ROW()/100000),IF(OR($G443="Overdue",$G443="Due today",$G443="Due in next 30 days"),$F443+ROW()/100000,""))))</f>
        <v/>
      </c>
    </row>
    <row r="444" customFormat="false" ht="15" hidden="false" customHeight="false" outlineLevel="0" collapsed="false">
      <c r="A444" s="11"/>
      <c r="B444" s="11"/>
      <c r="C444" s="11"/>
      <c r="D444" s="12"/>
      <c r="E444" s="13"/>
      <c r="F444" s="14" t="str">
        <f aca="false">IF(OR(AND($A444="",$B444="",$C444="",$D444="",$E444=""),$I444&lt;&gt;""),"",EDATE($D444,$E444))</f>
        <v/>
      </c>
      <c r="G444" s="6" t="str">
        <f aca="false">IF(AND($A444="",$B444="",$C444="",$D444="",$E444=""),"",IF($I444&lt;&gt;"","Check details",IF($F444&lt;AsOf,"Overdue",IF($F444=AsOf,"Due today",IF($F444&lt;=AsOf+30,"Due in next 30 days","Later")))))</f>
        <v/>
      </c>
      <c r="H444" s="15" t="str">
        <f aca="false">IF($F444="","",$F444-AsOf)</f>
        <v/>
      </c>
      <c r="I444" s="16" t="str">
        <f aca="false">IF(AND($A444="",$B444="",$C444="",$D444="",$E444=""),"",TRIM(IF($A444="","Name missing. ","")&amp;IF($B444="","Site missing. ","")&amp;IF($D444="","Last service missing. ",IF(NOT(ISNUMBER($D444)),"Last service isn't a date. ",IF(OR($D444&lt;18264,$D444&lt;&gt;INT($D444)),"Last service isn't a valid date. ",IF($D444&gt;AsOf,"Last service is after the as-of date. ",""))))&amp;IF($E444="","Interval missing.",IF(NOT(ISNUMBER($E444)),"Interval must be a number.",IF($E444&lt;&gt;INT($E444),"Interval must be whole months.",IF(OR($E444&lt;1,$E444&gt;240),"Interval must be 1-240 months.",""))))))</f>
        <v/>
      </c>
      <c r="J444" s="17" t="str">
        <f aca="false">IF(AND($A444="",$B444="",$C444="",$D444="",$E444=""),"",IF('Due List'!$B$4="Check details",IF($G444="Check details",ROW(),""),IF('Due List'!$B$4="All records",IF($G444="Check details",ROW()/100000,$F444+ROW()/100000),IF(OR($G444="Overdue",$G444="Due today",$G444="Due in next 30 days"),$F444+ROW()/100000,""))))</f>
        <v/>
      </c>
    </row>
    <row r="445" customFormat="false" ht="15" hidden="false" customHeight="false" outlineLevel="0" collapsed="false">
      <c r="A445" s="11"/>
      <c r="B445" s="11"/>
      <c r="C445" s="11"/>
      <c r="D445" s="12"/>
      <c r="E445" s="13"/>
      <c r="F445" s="14" t="str">
        <f aca="false">IF(OR(AND($A445="",$B445="",$C445="",$D445="",$E445=""),$I445&lt;&gt;""),"",EDATE($D445,$E445))</f>
        <v/>
      </c>
      <c r="G445" s="6" t="str">
        <f aca="false">IF(AND($A445="",$B445="",$C445="",$D445="",$E445=""),"",IF($I445&lt;&gt;"","Check details",IF($F445&lt;AsOf,"Overdue",IF($F445=AsOf,"Due today",IF($F445&lt;=AsOf+30,"Due in next 30 days","Later")))))</f>
        <v/>
      </c>
      <c r="H445" s="15" t="str">
        <f aca="false">IF($F445="","",$F445-AsOf)</f>
        <v/>
      </c>
      <c r="I445" s="16" t="str">
        <f aca="false">IF(AND($A445="",$B445="",$C445="",$D445="",$E445=""),"",TRIM(IF($A445="","Name missing. ","")&amp;IF($B445="","Site missing. ","")&amp;IF($D445="","Last service missing. ",IF(NOT(ISNUMBER($D445)),"Last service isn't a date. ",IF(OR($D445&lt;18264,$D445&lt;&gt;INT($D445)),"Last service isn't a valid date. ",IF($D445&gt;AsOf,"Last service is after the as-of date. ",""))))&amp;IF($E445="","Interval missing.",IF(NOT(ISNUMBER($E445)),"Interval must be a number.",IF($E445&lt;&gt;INT($E445),"Interval must be whole months.",IF(OR($E445&lt;1,$E445&gt;240),"Interval must be 1-240 months.",""))))))</f>
        <v/>
      </c>
      <c r="J445" s="17" t="str">
        <f aca="false">IF(AND($A445="",$B445="",$C445="",$D445="",$E445=""),"",IF('Due List'!$B$4="Check details",IF($G445="Check details",ROW(),""),IF('Due List'!$B$4="All records",IF($G445="Check details",ROW()/100000,$F445+ROW()/100000),IF(OR($G445="Overdue",$G445="Due today",$G445="Due in next 30 days"),$F445+ROW()/100000,""))))</f>
        <v/>
      </c>
    </row>
    <row r="446" customFormat="false" ht="15" hidden="false" customHeight="false" outlineLevel="0" collapsed="false">
      <c r="A446" s="11"/>
      <c r="B446" s="11"/>
      <c r="C446" s="11"/>
      <c r="D446" s="12"/>
      <c r="E446" s="13"/>
      <c r="F446" s="14" t="str">
        <f aca="false">IF(OR(AND($A446="",$B446="",$C446="",$D446="",$E446=""),$I446&lt;&gt;""),"",EDATE($D446,$E446))</f>
        <v/>
      </c>
      <c r="G446" s="6" t="str">
        <f aca="false">IF(AND($A446="",$B446="",$C446="",$D446="",$E446=""),"",IF($I446&lt;&gt;"","Check details",IF($F446&lt;AsOf,"Overdue",IF($F446=AsOf,"Due today",IF($F446&lt;=AsOf+30,"Due in next 30 days","Later")))))</f>
        <v/>
      </c>
      <c r="H446" s="15" t="str">
        <f aca="false">IF($F446="","",$F446-AsOf)</f>
        <v/>
      </c>
      <c r="I446" s="16" t="str">
        <f aca="false">IF(AND($A446="",$B446="",$C446="",$D446="",$E446=""),"",TRIM(IF($A446="","Name missing. ","")&amp;IF($B446="","Site missing. ","")&amp;IF($D446="","Last service missing. ",IF(NOT(ISNUMBER($D446)),"Last service isn't a date. ",IF(OR($D446&lt;18264,$D446&lt;&gt;INT($D446)),"Last service isn't a valid date. ",IF($D446&gt;AsOf,"Last service is after the as-of date. ",""))))&amp;IF($E446="","Interval missing.",IF(NOT(ISNUMBER($E446)),"Interval must be a number.",IF($E446&lt;&gt;INT($E446),"Interval must be whole months.",IF(OR($E446&lt;1,$E446&gt;240),"Interval must be 1-240 months.",""))))))</f>
        <v/>
      </c>
      <c r="J446" s="17" t="str">
        <f aca="false">IF(AND($A446="",$B446="",$C446="",$D446="",$E446=""),"",IF('Due List'!$B$4="Check details",IF($G446="Check details",ROW(),""),IF('Due List'!$B$4="All records",IF($G446="Check details",ROW()/100000,$F446+ROW()/100000),IF(OR($G446="Overdue",$G446="Due today",$G446="Due in next 30 days"),$F446+ROW()/100000,""))))</f>
        <v/>
      </c>
    </row>
    <row r="447" customFormat="false" ht="15" hidden="false" customHeight="false" outlineLevel="0" collapsed="false">
      <c r="A447" s="11"/>
      <c r="B447" s="11"/>
      <c r="C447" s="11"/>
      <c r="D447" s="12"/>
      <c r="E447" s="13"/>
      <c r="F447" s="14" t="str">
        <f aca="false">IF(OR(AND($A447="",$B447="",$C447="",$D447="",$E447=""),$I447&lt;&gt;""),"",EDATE($D447,$E447))</f>
        <v/>
      </c>
      <c r="G447" s="6" t="str">
        <f aca="false">IF(AND($A447="",$B447="",$C447="",$D447="",$E447=""),"",IF($I447&lt;&gt;"","Check details",IF($F447&lt;AsOf,"Overdue",IF($F447=AsOf,"Due today",IF($F447&lt;=AsOf+30,"Due in next 30 days","Later")))))</f>
        <v/>
      </c>
      <c r="H447" s="15" t="str">
        <f aca="false">IF($F447="","",$F447-AsOf)</f>
        <v/>
      </c>
      <c r="I447" s="16" t="str">
        <f aca="false">IF(AND($A447="",$B447="",$C447="",$D447="",$E447=""),"",TRIM(IF($A447="","Name missing. ","")&amp;IF($B447="","Site missing. ","")&amp;IF($D447="","Last service missing. ",IF(NOT(ISNUMBER($D447)),"Last service isn't a date. ",IF(OR($D447&lt;18264,$D447&lt;&gt;INT($D447)),"Last service isn't a valid date. ",IF($D447&gt;AsOf,"Last service is after the as-of date. ",""))))&amp;IF($E447="","Interval missing.",IF(NOT(ISNUMBER($E447)),"Interval must be a number.",IF($E447&lt;&gt;INT($E447),"Interval must be whole months.",IF(OR($E447&lt;1,$E447&gt;240),"Interval must be 1-240 months.",""))))))</f>
        <v/>
      </c>
      <c r="J447" s="17" t="str">
        <f aca="false">IF(AND($A447="",$B447="",$C447="",$D447="",$E447=""),"",IF('Due List'!$B$4="Check details",IF($G447="Check details",ROW(),""),IF('Due List'!$B$4="All records",IF($G447="Check details",ROW()/100000,$F447+ROW()/100000),IF(OR($G447="Overdue",$G447="Due today",$G447="Due in next 30 days"),$F447+ROW()/100000,""))))</f>
        <v/>
      </c>
    </row>
    <row r="448" customFormat="false" ht="15" hidden="false" customHeight="false" outlineLevel="0" collapsed="false">
      <c r="A448" s="11"/>
      <c r="B448" s="11"/>
      <c r="C448" s="11"/>
      <c r="D448" s="12"/>
      <c r="E448" s="13"/>
      <c r="F448" s="14" t="str">
        <f aca="false">IF(OR(AND($A448="",$B448="",$C448="",$D448="",$E448=""),$I448&lt;&gt;""),"",EDATE($D448,$E448))</f>
        <v/>
      </c>
      <c r="G448" s="6" t="str">
        <f aca="false">IF(AND($A448="",$B448="",$C448="",$D448="",$E448=""),"",IF($I448&lt;&gt;"","Check details",IF($F448&lt;AsOf,"Overdue",IF($F448=AsOf,"Due today",IF($F448&lt;=AsOf+30,"Due in next 30 days","Later")))))</f>
        <v/>
      </c>
      <c r="H448" s="15" t="str">
        <f aca="false">IF($F448="","",$F448-AsOf)</f>
        <v/>
      </c>
      <c r="I448" s="16" t="str">
        <f aca="false">IF(AND($A448="",$B448="",$C448="",$D448="",$E448=""),"",TRIM(IF($A448="","Name missing. ","")&amp;IF($B448="","Site missing. ","")&amp;IF($D448="","Last service missing. ",IF(NOT(ISNUMBER($D448)),"Last service isn't a date. ",IF(OR($D448&lt;18264,$D448&lt;&gt;INT($D448)),"Last service isn't a valid date. ",IF($D448&gt;AsOf,"Last service is after the as-of date. ",""))))&amp;IF($E448="","Interval missing.",IF(NOT(ISNUMBER($E448)),"Interval must be a number.",IF($E448&lt;&gt;INT($E448),"Interval must be whole months.",IF(OR($E448&lt;1,$E448&gt;240),"Interval must be 1-240 months.",""))))))</f>
        <v/>
      </c>
      <c r="J448" s="17" t="str">
        <f aca="false">IF(AND($A448="",$B448="",$C448="",$D448="",$E448=""),"",IF('Due List'!$B$4="Check details",IF($G448="Check details",ROW(),""),IF('Due List'!$B$4="All records",IF($G448="Check details",ROW()/100000,$F448+ROW()/100000),IF(OR($G448="Overdue",$G448="Due today",$G448="Due in next 30 days"),$F448+ROW()/100000,""))))</f>
        <v/>
      </c>
    </row>
    <row r="449" customFormat="false" ht="15" hidden="false" customHeight="false" outlineLevel="0" collapsed="false">
      <c r="A449" s="11"/>
      <c r="B449" s="11"/>
      <c r="C449" s="11"/>
      <c r="D449" s="12"/>
      <c r="E449" s="13"/>
      <c r="F449" s="14" t="str">
        <f aca="false">IF(OR(AND($A449="",$B449="",$C449="",$D449="",$E449=""),$I449&lt;&gt;""),"",EDATE($D449,$E449))</f>
        <v/>
      </c>
      <c r="G449" s="6" t="str">
        <f aca="false">IF(AND($A449="",$B449="",$C449="",$D449="",$E449=""),"",IF($I449&lt;&gt;"","Check details",IF($F449&lt;AsOf,"Overdue",IF($F449=AsOf,"Due today",IF($F449&lt;=AsOf+30,"Due in next 30 days","Later")))))</f>
        <v/>
      </c>
      <c r="H449" s="15" t="str">
        <f aca="false">IF($F449="","",$F449-AsOf)</f>
        <v/>
      </c>
      <c r="I449" s="16" t="str">
        <f aca="false">IF(AND($A449="",$B449="",$C449="",$D449="",$E449=""),"",TRIM(IF($A449="","Name missing. ","")&amp;IF($B449="","Site missing. ","")&amp;IF($D449="","Last service missing. ",IF(NOT(ISNUMBER($D449)),"Last service isn't a date. ",IF(OR($D449&lt;18264,$D449&lt;&gt;INT($D449)),"Last service isn't a valid date. ",IF($D449&gt;AsOf,"Last service is after the as-of date. ",""))))&amp;IF($E449="","Interval missing.",IF(NOT(ISNUMBER($E449)),"Interval must be a number.",IF($E449&lt;&gt;INT($E449),"Interval must be whole months.",IF(OR($E449&lt;1,$E449&gt;240),"Interval must be 1-240 months.",""))))))</f>
        <v/>
      </c>
      <c r="J449" s="17" t="str">
        <f aca="false">IF(AND($A449="",$B449="",$C449="",$D449="",$E449=""),"",IF('Due List'!$B$4="Check details",IF($G449="Check details",ROW(),""),IF('Due List'!$B$4="All records",IF($G449="Check details",ROW()/100000,$F449+ROW()/100000),IF(OR($G449="Overdue",$G449="Due today",$G449="Due in next 30 days"),$F449+ROW()/100000,""))))</f>
        <v/>
      </c>
    </row>
    <row r="450" customFormat="false" ht="15" hidden="false" customHeight="false" outlineLevel="0" collapsed="false">
      <c r="A450" s="11"/>
      <c r="B450" s="11"/>
      <c r="C450" s="11"/>
      <c r="D450" s="12"/>
      <c r="E450" s="13"/>
      <c r="F450" s="14" t="str">
        <f aca="false">IF(OR(AND($A450="",$B450="",$C450="",$D450="",$E450=""),$I450&lt;&gt;""),"",EDATE($D450,$E450))</f>
        <v/>
      </c>
      <c r="G450" s="6" t="str">
        <f aca="false">IF(AND($A450="",$B450="",$C450="",$D450="",$E450=""),"",IF($I450&lt;&gt;"","Check details",IF($F450&lt;AsOf,"Overdue",IF($F450=AsOf,"Due today",IF($F450&lt;=AsOf+30,"Due in next 30 days","Later")))))</f>
        <v/>
      </c>
      <c r="H450" s="15" t="str">
        <f aca="false">IF($F450="","",$F450-AsOf)</f>
        <v/>
      </c>
      <c r="I450" s="16" t="str">
        <f aca="false">IF(AND($A450="",$B450="",$C450="",$D450="",$E450=""),"",TRIM(IF($A450="","Name missing. ","")&amp;IF($B450="","Site missing. ","")&amp;IF($D450="","Last service missing. ",IF(NOT(ISNUMBER($D450)),"Last service isn't a date. ",IF(OR($D450&lt;18264,$D450&lt;&gt;INT($D450)),"Last service isn't a valid date. ",IF($D450&gt;AsOf,"Last service is after the as-of date. ",""))))&amp;IF($E450="","Interval missing.",IF(NOT(ISNUMBER($E450)),"Interval must be a number.",IF($E450&lt;&gt;INT($E450),"Interval must be whole months.",IF(OR($E450&lt;1,$E450&gt;240),"Interval must be 1-240 months.",""))))))</f>
        <v/>
      </c>
      <c r="J450" s="17" t="str">
        <f aca="false">IF(AND($A450="",$B450="",$C450="",$D450="",$E450=""),"",IF('Due List'!$B$4="Check details",IF($G450="Check details",ROW(),""),IF('Due List'!$B$4="All records",IF($G450="Check details",ROW()/100000,$F450+ROW()/100000),IF(OR($G450="Overdue",$G450="Due today",$G450="Due in next 30 days"),$F450+ROW()/100000,""))))</f>
        <v/>
      </c>
    </row>
    <row r="451" customFormat="false" ht="15" hidden="false" customHeight="false" outlineLevel="0" collapsed="false">
      <c r="A451" s="11"/>
      <c r="B451" s="11"/>
      <c r="C451" s="11"/>
      <c r="D451" s="12"/>
      <c r="E451" s="13"/>
      <c r="F451" s="14" t="str">
        <f aca="false">IF(OR(AND($A451="",$B451="",$C451="",$D451="",$E451=""),$I451&lt;&gt;""),"",EDATE($D451,$E451))</f>
        <v/>
      </c>
      <c r="G451" s="6" t="str">
        <f aca="false">IF(AND($A451="",$B451="",$C451="",$D451="",$E451=""),"",IF($I451&lt;&gt;"","Check details",IF($F451&lt;AsOf,"Overdue",IF($F451=AsOf,"Due today",IF($F451&lt;=AsOf+30,"Due in next 30 days","Later")))))</f>
        <v/>
      </c>
      <c r="H451" s="15" t="str">
        <f aca="false">IF($F451="","",$F451-AsOf)</f>
        <v/>
      </c>
      <c r="I451" s="16" t="str">
        <f aca="false">IF(AND($A451="",$B451="",$C451="",$D451="",$E451=""),"",TRIM(IF($A451="","Name missing. ","")&amp;IF($B451="","Site missing. ","")&amp;IF($D451="","Last service missing. ",IF(NOT(ISNUMBER($D451)),"Last service isn't a date. ",IF(OR($D451&lt;18264,$D451&lt;&gt;INT($D451)),"Last service isn't a valid date. ",IF($D451&gt;AsOf,"Last service is after the as-of date. ",""))))&amp;IF($E451="","Interval missing.",IF(NOT(ISNUMBER($E451)),"Interval must be a number.",IF($E451&lt;&gt;INT($E451),"Interval must be whole months.",IF(OR($E451&lt;1,$E451&gt;240),"Interval must be 1-240 months.",""))))))</f>
        <v/>
      </c>
      <c r="J451" s="17" t="str">
        <f aca="false">IF(AND($A451="",$B451="",$C451="",$D451="",$E451=""),"",IF('Due List'!$B$4="Check details",IF($G451="Check details",ROW(),""),IF('Due List'!$B$4="All records",IF($G451="Check details",ROW()/100000,$F451+ROW()/100000),IF(OR($G451="Overdue",$G451="Due today",$G451="Due in next 30 days"),$F451+ROW()/100000,""))))</f>
        <v/>
      </c>
    </row>
    <row r="452" customFormat="false" ht="15" hidden="false" customHeight="false" outlineLevel="0" collapsed="false">
      <c r="A452" s="11"/>
      <c r="B452" s="11"/>
      <c r="C452" s="11"/>
      <c r="D452" s="12"/>
      <c r="E452" s="13"/>
      <c r="F452" s="14" t="str">
        <f aca="false">IF(OR(AND($A452="",$B452="",$C452="",$D452="",$E452=""),$I452&lt;&gt;""),"",EDATE($D452,$E452))</f>
        <v/>
      </c>
      <c r="G452" s="6" t="str">
        <f aca="false">IF(AND($A452="",$B452="",$C452="",$D452="",$E452=""),"",IF($I452&lt;&gt;"","Check details",IF($F452&lt;AsOf,"Overdue",IF($F452=AsOf,"Due today",IF($F452&lt;=AsOf+30,"Due in next 30 days","Later")))))</f>
        <v/>
      </c>
      <c r="H452" s="15" t="str">
        <f aca="false">IF($F452="","",$F452-AsOf)</f>
        <v/>
      </c>
      <c r="I452" s="16" t="str">
        <f aca="false">IF(AND($A452="",$B452="",$C452="",$D452="",$E452=""),"",TRIM(IF($A452="","Name missing. ","")&amp;IF($B452="","Site missing. ","")&amp;IF($D452="","Last service missing. ",IF(NOT(ISNUMBER($D452)),"Last service isn't a date. ",IF(OR($D452&lt;18264,$D452&lt;&gt;INT($D452)),"Last service isn't a valid date. ",IF($D452&gt;AsOf,"Last service is after the as-of date. ",""))))&amp;IF($E452="","Interval missing.",IF(NOT(ISNUMBER($E452)),"Interval must be a number.",IF($E452&lt;&gt;INT($E452),"Interval must be whole months.",IF(OR($E452&lt;1,$E452&gt;240),"Interval must be 1-240 months.",""))))))</f>
        <v/>
      </c>
      <c r="J452" s="17" t="str">
        <f aca="false">IF(AND($A452="",$B452="",$C452="",$D452="",$E452=""),"",IF('Due List'!$B$4="Check details",IF($G452="Check details",ROW(),""),IF('Due List'!$B$4="All records",IF($G452="Check details",ROW()/100000,$F452+ROW()/100000),IF(OR($G452="Overdue",$G452="Due today",$G452="Due in next 30 days"),$F452+ROW()/100000,""))))</f>
        <v/>
      </c>
    </row>
    <row r="453" customFormat="false" ht="15" hidden="false" customHeight="false" outlineLevel="0" collapsed="false">
      <c r="A453" s="11"/>
      <c r="B453" s="11"/>
      <c r="C453" s="11"/>
      <c r="D453" s="12"/>
      <c r="E453" s="13"/>
      <c r="F453" s="14" t="str">
        <f aca="false">IF(OR(AND($A453="",$B453="",$C453="",$D453="",$E453=""),$I453&lt;&gt;""),"",EDATE($D453,$E453))</f>
        <v/>
      </c>
      <c r="G453" s="6" t="str">
        <f aca="false">IF(AND($A453="",$B453="",$C453="",$D453="",$E453=""),"",IF($I453&lt;&gt;"","Check details",IF($F453&lt;AsOf,"Overdue",IF($F453=AsOf,"Due today",IF($F453&lt;=AsOf+30,"Due in next 30 days","Later")))))</f>
        <v/>
      </c>
      <c r="H453" s="15" t="str">
        <f aca="false">IF($F453="","",$F453-AsOf)</f>
        <v/>
      </c>
      <c r="I453" s="16" t="str">
        <f aca="false">IF(AND($A453="",$B453="",$C453="",$D453="",$E453=""),"",TRIM(IF($A453="","Name missing. ","")&amp;IF($B453="","Site missing. ","")&amp;IF($D453="","Last service missing. ",IF(NOT(ISNUMBER($D453)),"Last service isn't a date. ",IF(OR($D453&lt;18264,$D453&lt;&gt;INT($D453)),"Last service isn't a valid date. ",IF($D453&gt;AsOf,"Last service is after the as-of date. ",""))))&amp;IF($E453="","Interval missing.",IF(NOT(ISNUMBER($E453)),"Interval must be a number.",IF($E453&lt;&gt;INT($E453),"Interval must be whole months.",IF(OR($E453&lt;1,$E453&gt;240),"Interval must be 1-240 months.",""))))))</f>
        <v/>
      </c>
      <c r="J453" s="17" t="str">
        <f aca="false">IF(AND($A453="",$B453="",$C453="",$D453="",$E453=""),"",IF('Due List'!$B$4="Check details",IF($G453="Check details",ROW(),""),IF('Due List'!$B$4="All records",IF($G453="Check details",ROW()/100000,$F453+ROW()/100000),IF(OR($G453="Overdue",$G453="Due today",$G453="Due in next 30 days"),$F453+ROW()/100000,""))))</f>
        <v/>
      </c>
    </row>
    <row r="454" customFormat="false" ht="15" hidden="false" customHeight="false" outlineLevel="0" collapsed="false">
      <c r="A454" s="11"/>
      <c r="B454" s="11"/>
      <c r="C454" s="11"/>
      <c r="D454" s="12"/>
      <c r="E454" s="13"/>
      <c r="F454" s="14" t="str">
        <f aca="false">IF(OR(AND($A454="",$B454="",$C454="",$D454="",$E454=""),$I454&lt;&gt;""),"",EDATE($D454,$E454))</f>
        <v/>
      </c>
      <c r="G454" s="6" t="str">
        <f aca="false">IF(AND($A454="",$B454="",$C454="",$D454="",$E454=""),"",IF($I454&lt;&gt;"","Check details",IF($F454&lt;AsOf,"Overdue",IF($F454=AsOf,"Due today",IF($F454&lt;=AsOf+30,"Due in next 30 days","Later")))))</f>
        <v/>
      </c>
      <c r="H454" s="15" t="str">
        <f aca="false">IF($F454="","",$F454-AsOf)</f>
        <v/>
      </c>
      <c r="I454" s="16" t="str">
        <f aca="false">IF(AND($A454="",$B454="",$C454="",$D454="",$E454=""),"",TRIM(IF($A454="","Name missing. ","")&amp;IF($B454="","Site missing. ","")&amp;IF($D454="","Last service missing. ",IF(NOT(ISNUMBER($D454)),"Last service isn't a date. ",IF(OR($D454&lt;18264,$D454&lt;&gt;INT($D454)),"Last service isn't a valid date. ",IF($D454&gt;AsOf,"Last service is after the as-of date. ",""))))&amp;IF($E454="","Interval missing.",IF(NOT(ISNUMBER($E454)),"Interval must be a number.",IF($E454&lt;&gt;INT($E454),"Interval must be whole months.",IF(OR($E454&lt;1,$E454&gt;240),"Interval must be 1-240 months.",""))))))</f>
        <v/>
      </c>
      <c r="J454" s="17" t="str">
        <f aca="false">IF(AND($A454="",$B454="",$C454="",$D454="",$E454=""),"",IF('Due List'!$B$4="Check details",IF($G454="Check details",ROW(),""),IF('Due List'!$B$4="All records",IF($G454="Check details",ROW()/100000,$F454+ROW()/100000),IF(OR($G454="Overdue",$G454="Due today",$G454="Due in next 30 days"),$F454+ROW()/100000,""))))</f>
        <v/>
      </c>
    </row>
    <row r="455" customFormat="false" ht="15" hidden="false" customHeight="false" outlineLevel="0" collapsed="false">
      <c r="A455" s="11"/>
      <c r="B455" s="11"/>
      <c r="C455" s="11"/>
      <c r="D455" s="12"/>
      <c r="E455" s="13"/>
      <c r="F455" s="14" t="str">
        <f aca="false">IF(OR(AND($A455="",$B455="",$C455="",$D455="",$E455=""),$I455&lt;&gt;""),"",EDATE($D455,$E455))</f>
        <v/>
      </c>
      <c r="G455" s="6" t="str">
        <f aca="false">IF(AND($A455="",$B455="",$C455="",$D455="",$E455=""),"",IF($I455&lt;&gt;"","Check details",IF($F455&lt;AsOf,"Overdue",IF($F455=AsOf,"Due today",IF($F455&lt;=AsOf+30,"Due in next 30 days","Later")))))</f>
        <v/>
      </c>
      <c r="H455" s="15" t="str">
        <f aca="false">IF($F455="","",$F455-AsOf)</f>
        <v/>
      </c>
      <c r="I455" s="16" t="str">
        <f aca="false">IF(AND($A455="",$B455="",$C455="",$D455="",$E455=""),"",TRIM(IF($A455="","Name missing. ","")&amp;IF($B455="","Site missing. ","")&amp;IF($D455="","Last service missing. ",IF(NOT(ISNUMBER($D455)),"Last service isn't a date. ",IF(OR($D455&lt;18264,$D455&lt;&gt;INT($D455)),"Last service isn't a valid date. ",IF($D455&gt;AsOf,"Last service is after the as-of date. ",""))))&amp;IF($E455="","Interval missing.",IF(NOT(ISNUMBER($E455)),"Interval must be a number.",IF($E455&lt;&gt;INT($E455),"Interval must be whole months.",IF(OR($E455&lt;1,$E455&gt;240),"Interval must be 1-240 months.",""))))))</f>
        <v/>
      </c>
      <c r="J455" s="17" t="str">
        <f aca="false">IF(AND($A455="",$B455="",$C455="",$D455="",$E455=""),"",IF('Due List'!$B$4="Check details",IF($G455="Check details",ROW(),""),IF('Due List'!$B$4="All records",IF($G455="Check details",ROW()/100000,$F455+ROW()/100000),IF(OR($G455="Overdue",$G455="Due today",$G455="Due in next 30 days"),$F455+ROW()/100000,""))))</f>
        <v/>
      </c>
    </row>
    <row r="456" customFormat="false" ht="15" hidden="false" customHeight="false" outlineLevel="0" collapsed="false">
      <c r="A456" s="11"/>
      <c r="B456" s="11"/>
      <c r="C456" s="11"/>
      <c r="D456" s="12"/>
      <c r="E456" s="13"/>
      <c r="F456" s="14" t="str">
        <f aca="false">IF(OR(AND($A456="",$B456="",$C456="",$D456="",$E456=""),$I456&lt;&gt;""),"",EDATE($D456,$E456))</f>
        <v/>
      </c>
      <c r="G456" s="6" t="str">
        <f aca="false">IF(AND($A456="",$B456="",$C456="",$D456="",$E456=""),"",IF($I456&lt;&gt;"","Check details",IF($F456&lt;AsOf,"Overdue",IF($F456=AsOf,"Due today",IF($F456&lt;=AsOf+30,"Due in next 30 days","Later")))))</f>
        <v/>
      </c>
      <c r="H456" s="15" t="str">
        <f aca="false">IF($F456="","",$F456-AsOf)</f>
        <v/>
      </c>
      <c r="I456" s="16" t="str">
        <f aca="false">IF(AND($A456="",$B456="",$C456="",$D456="",$E456=""),"",TRIM(IF($A456="","Name missing. ","")&amp;IF($B456="","Site missing. ","")&amp;IF($D456="","Last service missing. ",IF(NOT(ISNUMBER($D456)),"Last service isn't a date. ",IF(OR($D456&lt;18264,$D456&lt;&gt;INT($D456)),"Last service isn't a valid date. ",IF($D456&gt;AsOf,"Last service is after the as-of date. ",""))))&amp;IF($E456="","Interval missing.",IF(NOT(ISNUMBER($E456)),"Interval must be a number.",IF($E456&lt;&gt;INT($E456),"Interval must be whole months.",IF(OR($E456&lt;1,$E456&gt;240),"Interval must be 1-240 months.",""))))))</f>
        <v/>
      </c>
      <c r="J456" s="17" t="str">
        <f aca="false">IF(AND($A456="",$B456="",$C456="",$D456="",$E456=""),"",IF('Due List'!$B$4="Check details",IF($G456="Check details",ROW(),""),IF('Due List'!$B$4="All records",IF($G456="Check details",ROW()/100000,$F456+ROW()/100000),IF(OR($G456="Overdue",$G456="Due today",$G456="Due in next 30 days"),$F456+ROW()/100000,""))))</f>
        <v/>
      </c>
    </row>
    <row r="457" customFormat="false" ht="15" hidden="false" customHeight="false" outlineLevel="0" collapsed="false">
      <c r="A457" s="11"/>
      <c r="B457" s="11"/>
      <c r="C457" s="11"/>
      <c r="D457" s="12"/>
      <c r="E457" s="13"/>
      <c r="F457" s="14" t="str">
        <f aca="false">IF(OR(AND($A457="",$B457="",$C457="",$D457="",$E457=""),$I457&lt;&gt;""),"",EDATE($D457,$E457))</f>
        <v/>
      </c>
      <c r="G457" s="6" t="str">
        <f aca="false">IF(AND($A457="",$B457="",$C457="",$D457="",$E457=""),"",IF($I457&lt;&gt;"","Check details",IF($F457&lt;AsOf,"Overdue",IF($F457=AsOf,"Due today",IF($F457&lt;=AsOf+30,"Due in next 30 days","Later")))))</f>
        <v/>
      </c>
      <c r="H457" s="15" t="str">
        <f aca="false">IF($F457="","",$F457-AsOf)</f>
        <v/>
      </c>
      <c r="I457" s="16" t="str">
        <f aca="false">IF(AND($A457="",$B457="",$C457="",$D457="",$E457=""),"",TRIM(IF($A457="","Name missing. ","")&amp;IF($B457="","Site missing. ","")&amp;IF($D457="","Last service missing. ",IF(NOT(ISNUMBER($D457)),"Last service isn't a date. ",IF(OR($D457&lt;18264,$D457&lt;&gt;INT($D457)),"Last service isn't a valid date. ",IF($D457&gt;AsOf,"Last service is after the as-of date. ",""))))&amp;IF($E457="","Interval missing.",IF(NOT(ISNUMBER($E457)),"Interval must be a number.",IF($E457&lt;&gt;INT($E457),"Interval must be whole months.",IF(OR($E457&lt;1,$E457&gt;240),"Interval must be 1-240 months.",""))))))</f>
        <v/>
      </c>
      <c r="J457" s="17" t="str">
        <f aca="false">IF(AND($A457="",$B457="",$C457="",$D457="",$E457=""),"",IF('Due List'!$B$4="Check details",IF($G457="Check details",ROW(),""),IF('Due List'!$B$4="All records",IF($G457="Check details",ROW()/100000,$F457+ROW()/100000),IF(OR($G457="Overdue",$G457="Due today",$G457="Due in next 30 days"),$F457+ROW()/100000,""))))</f>
        <v/>
      </c>
    </row>
    <row r="458" customFormat="false" ht="15" hidden="false" customHeight="false" outlineLevel="0" collapsed="false">
      <c r="A458" s="11"/>
      <c r="B458" s="11"/>
      <c r="C458" s="11"/>
      <c r="D458" s="12"/>
      <c r="E458" s="13"/>
      <c r="F458" s="14" t="str">
        <f aca="false">IF(OR(AND($A458="",$B458="",$C458="",$D458="",$E458=""),$I458&lt;&gt;""),"",EDATE($D458,$E458))</f>
        <v/>
      </c>
      <c r="G458" s="6" t="str">
        <f aca="false">IF(AND($A458="",$B458="",$C458="",$D458="",$E458=""),"",IF($I458&lt;&gt;"","Check details",IF($F458&lt;AsOf,"Overdue",IF($F458=AsOf,"Due today",IF($F458&lt;=AsOf+30,"Due in next 30 days","Later")))))</f>
        <v/>
      </c>
      <c r="H458" s="15" t="str">
        <f aca="false">IF($F458="","",$F458-AsOf)</f>
        <v/>
      </c>
      <c r="I458" s="16" t="str">
        <f aca="false">IF(AND($A458="",$B458="",$C458="",$D458="",$E458=""),"",TRIM(IF($A458="","Name missing. ","")&amp;IF($B458="","Site missing. ","")&amp;IF($D458="","Last service missing. ",IF(NOT(ISNUMBER($D458)),"Last service isn't a date. ",IF(OR($D458&lt;18264,$D458&lt;&gt;INT($D458)),"Last service isn't a valid date. ",IF($D458&gt;AsOf,"Last service is after the as-of date. ",""))))&amp;IF($E458="","Interval missing.",IF(NOT(ISNUMBER($E458)),"Interval must be a number.",IF($E458&lt;&gt;INT($E458),"Interval must be whole months.",IF(OR($E458&lt;1,$E458&gt;240),"Interval must be 1-240 months.",""))))))</f>
        <v/>
      </c>
      <c r="J458" s="17" t="str">
        <f aca="false">IF(AND($A458="",$B458="",$C458="",$D458="",$E458=""),"",IF('Due List'!$B$4="Check details",IF($G458="Check details",ROW(),""),IF('Due List'!$B$4="All records",IF($G458="Check details",ROW()/100000,$F458+ROW()/100000),IF(OR($G458="Overdue",$G458="Due today",$G458="Due in next 30 days"),$F458+ROW()/100000,""))))</f>
        <v/>
      </c>
    </row>
    <row r="459" customFormat="false" ht="15" hidden="false" customHeight="false" outlineLevel="0" collapsed="false">
      <c r="A459" s="11"/>
      <c r="B459" s="11"/>
      <c r="C459" s="11"/>
      <c r="D459" s="12"/>
      <c r="E459" s="13"/>
      <c r="F459" s="14" t="str">
        <f aca="false">IF(OR(AND($A459="",$B459="",$C459="",$D459="",$E459=""),$I459&lt;&gt;""),"",EDATE($D459,$E459))</f>
        <v/>
      </c>
      <c r="G459" s="6" t="str">
        <f aca="false">IF(AND($A459="",$B459="",$C459="",$D459="",$E459=""),"",IF($I459&lt;&gt;"","Check details",IF($F459&lt;AsOf,"Overdue",IF($F459=AsOf,"Due today",IF($F459&lt;=AsOf+30,"Due in next 30 days","Later")))))</f>
        <v/>
      </c>
      <c r="H459" s="15" t="str">
        <f aca="false">IF($F459="","",$F459-AsOf)</f>
        <v/>
      </c>
      <c r="I459" s="16" t="str">
        <f aca="false">IF(AND($A459="",$B459="",$C459="",$D459="",$E459=""),"",TRIM(IF($A459="","Name missing. ","")&amp;IF($B459="","Site missing. ","")&amp;IF($D459="","Last service missing. ",IF(NOT(ISNUMBER($D459)),"Last service isn't a date. ",IF(OR($D459&lt;18264,$D459&lt;&gt;INT($D459)),"Last service isn't a valid date. ",IF($D459&gt;AsOf,"Last service is after the as-of date. ",""))))&amp;IF($E459="","Interval missing.",IF(NOT(ISNUMBER($E459)),"Interval must be a number.",IF($E459&lt;&gt;INT($E459),"Interval must be whole months.",IF(OR($E459&lt;1,$E459&gt;240),"Interval must be 1-240 months.",""))))))</f>
        <v/>
      </c>
      <c r="J459" s="17" t="str">
        <f aca="false">IF(AND($A459="",$B459="",$C459="",$D459="",$E459=""),"",IF('Due List'!$B$4="Check details",IF($G459="Check details",ROW(),""),IF('Due List'!$B$4="All records",IF($G459="Check details",ROW()/100000,$F459+ROW()/100000),IF(OR($G459="Overdue",$G459="Due today",$G459="Due in next 30 days"),$F459+ROW()/100000,""))))</f>
        <v/>
      </c>
    </row>
    <row r="460" customFormat="false" ht="15" hidden="false" customHeight="false" outlineLevel="0" collapsed="false">
      <c r="A460" s="11"/>
      <c r="B460" s="11"/>
      <c r="C460" s="11"/>
      <c r="D460" s="12"/>
      <c r="E460" s="13"/>
      <c r="F460" s="14" t="str">
        <f aca="false">IF(OR(AND($A460="",$B460="",$C460="",$D460="",$E460=""),$I460&lt;&gt;""),"",EDATE($D460,$E460))</f>
        <v/>
      </c>
      <c r="G460" s="6" t="str">
        <f aca="false">IF(AND($A460="",$B460="",$C460="",$D460="",$E460=""),"",IF($I460&lt;&gt;"","Check details",IF($F460&lt;AsOf,"Overdue",IF($F460=AsOf,"Due today",IF($F460&lt;=AsOf+30,"Due in next 30 days","Later")))))</f>
        <v/>
      </c>
      <c r="H460" s="15" t="str">
        <f aca="false">IF($F460="","",$F460-AsOf)</f>
        <v/>
      </c>
      <c r="I460" s="16" t="str">
        <f aca="false">IF(AND($A460="",$B460="",$C460="",$D460="",$E460=""),"",TRIM(IF($A460="","Name missing. ","")&amp;IF($B460="","Site missing. ","")&amp;IF($D460="","Last service missing. ",IF(NOT(ISNUMBER($D460)),"Last service isn't a date. ",IF(OR($D460&lt;18264,$D460&lt;&gt;INT($D460)),"Last service isn't a valid date. ",IF($D460&gt;AsOf,"Last service is after the as-of date. ",""))))&amp;IF($E460="","Interval missing.",IF(NOT(ISNUMBER($E460)),"Interval must be a number.",IF($E460&lt;&gt;INT($E460),"Interval must be whole months.",IF(OR($E460&lt;1,$E460&gt;240),"Interval must be 1-240 months.",""))))))</f>
        <v/>
      </c>
      <c r="J460" s="17" t="str">
        <f aca="false">IF(AND($A460="",$B460="",$C460="",$D460="",$E460=""),"",IF('Due List'!$B$4="Check details",IF($G460="Check details",ROW(),""),IF('Due List'!$B$4="All records",IF($G460="Check details",ROW()/100000,$F460+ROW()/100000),IF(OR($G460="Overdue",$G460="Due today",$G460="Due in next 30 days"),$F460+ROW()/100000,""))))</f>
        <v/>
      </c>
    </row>
    <row r="461" customFormat="false" ht="15" hidden="false" customHeight="false" outlineLevel="0" collapsed="false">
      <c r="A461" s="11"/>
      <c r="B461" s="11"/>
      <c r="C461" s="11"/>
      <c r="D461" s="12"/>
      <c r="E461" s="13"/>
      <c r="F461" s="14" t="str">
        <f aca="false">IF(OR(AND($A461="",$B461="",$C461="",$D461="",$E461=""),$I461&lt;&gt;""),"",EDATE($D461,$E461))</f>
        <v/>
      </c>
      <c r="G461" s="6" t="str">
        <f aca="false">IF(AND($A461="",$B461="",$C461="",$D461="",$E461=""),"",IF($I461&lt;&gt;"","Check details",IF($F461&lt;AsOf,"Overdue",IF($F461=AsOf,"Due today",IF($F461&lt;=AsOf+30,"Due in next 30 days","Later")))))</f>
        <v/>
      </c>
      <c r="H461" s="15" t="str">
        <f aca="false">IF($F461="","",$F461-AsOf)</f>
        <v/>
      </c>
      <c r="I461" s="16" t="str">
        <f aca="false">IF(AND($A461="",$B461="",$C461="",$D461="",$E461=""),"",TRIM(IF($A461="","Name missing. ","")&amp;IF($B461="","Site missing. ","")&amp;IF($D461="","Last service missing. ",IF(NOT(ISNUMBER($D461)),"Last service isn't a date. ",IF(OR($D461&lt;18264,$D461&lt;&gt;INT($D461)),"Last service isn't a valid date. ",IF($D461&gt;AsOf,"Last service is after the as-of date. ",""))))&amp;IF($E461="","Interval missing.",IF(NOT(ISNUMBER($E461)),"Interval must be a number.",IF($E461&lt;&gt;INT($E461),"Interval must be whole months.",IF(OR($E461&lt;1,$E461&gt;240),"Interval must be 1-240 months.",""))))))</f>
        <v/>
      </c>
      <c r="J461" s="17" t="str">
        <f aca="false">IF(AND($A461="",$B461="",$C461="",$D461="",$E461=""),"",IF('Due List'!$B$4="Check details",IF($G461="Check details",ROW(),""),IF('Due List'!$B$4="All records",IF($G461="Check details",ROW()/100000,$F461+ROW()/100000),IF(OR($G461="Overdue",$G461="Due today",$G461="Due in next 30 days"),$F461+ROW()/100000,""))))</f>
        <v/>
      </c>
    </row>
    <row r="462" customFormat="false" ht="15" hidden="false" customHeight="false" outlineLevel="0" collapsed="false">
      <c r="A462" s="11"/>
      <c r="B462" s="11"/>
      <c r="C462" s="11"/>
      <c r="D462" s="12"/>
      <c r="E462" s="13"/>
      <c r="F462" s="14" t="str">
        <f aca="false">IF(OR(AND($A462="",$B462="",$C462="",$D462="",$E462=""),$I462&lt;&gt;""),"",EDATE($D462,$E462))</f>
        <v/>
      </c>
      <c r="G462" s="6" t="str">
        <f aca="false">IF(AND($A462="",$B462="",$C462="",$D462="",$E462=""),"",IF($I462&lt;&gt;"","Check details",IF($F462&lt;AsOf,"Overdue",IF($F462=AsOf,"Due today",IF($F462&lt;=AsOf+30,"Due in next 30 days","Later")))))</f>
        <v/>
      </c>
      <c r="H462" s="15" t="str">
        <f aca="false">IF($F462="","",$F462-AsOf)</f>
        <v/>
      </c>
      <c r="I462" s="16" t="str">
        <f aca="false">IF(AND($A462="",$B462="",$C462="",$D462="",$E462=""),"",TRIM(IF($A462="","Name missing. ","")&amp;IF($B462="","Site missing. ","")&amp;IF($D462="","Last service missing. ",IF(NOT(ISNUMBER($D462)),"Last service isn't a date. ",IF(OR($D462&lt;18264,$D462&lt;&gt;INT($D462)),"Last service isn't a valid date. ",IF($D462&gt;AsOf,"Last service is after the as-of date. ",""))))&amp;IF($E462="","Interval missing.",IF(NOT(ISNUMBER($E462)),"Interval must be a number.",IF($E462&lt;&gt;INT($E462),"Interval must be whole months.",IF(OR($E462&lt;1,$E462&gt;240),"Interval must be 1-240 months.",""))))))</f>
        <v/>
      </c>
      <c r="J462" s="17" t="str">
        <f aca="false">IF(AND($A462="",$B462="",$C462="",$D462="",$E462=""),"",IF('Due List'!$B$4="Check details",IF($G462="Check details",ROW(),""),IF('Due List'!$B$4="All records",IF($G462="Check details",ROW()/100000,$F462+ROW()/100000),IF(OR($G462="Overdue",$G462="Due today",$G462="Due in next 30 days"),$F462+ROW()/100000,""))))</f>
        <v/>
      </c>
    </row>
    <row r="463" customFormat="false" ht="15" hidden="false" customHeight="false" outlineLevel="0" collapsed="false">
      <c r="A463" s="11"/>
      <c r="B463" s="11"/>
      <c r="C463" s="11"/>
      <c r="D463" s="12"/>
      <c r="E463" s="13"/>
      <c r="F463" s="14" t="str">
        <f aca="false">IF(OR(AND($A463="",$B463="",$C463="",$D463="",$E463=""),$I463&lt;&gt;""),"",EDATE($D463,$E463))</f>
        <v/>
      </c>
      <c r="G463" s="6" t="str">
        <f aca="false">IF(AND($A463="",$B463="",$C463="",$D463="",$E463=""),"",IF($I463&lt;&gt;"","Check details",IF($F463&lt;AsOf,"Overdue",IF($F463=AsOf,"Due today",IF($F463&lt;=AsOf+30,"Due in next 30 days","Later")))))</f>
        <v/>
      </c>
      <c r="H463" s="15" t="str">
        <f aca="false">IF($F463="","",$F463-AsOf)</f>
        <v/>
      </c>
      <c r="I463" s="16" t="str">
        <f aca="false">IF(AND($A463="",$B463="",$C463="",$D463="",$E463=""),"",TRIM(IF($A463="","Name missing. ","")&amp;IF($B463="","Site missing. ","")&amp;IF($D463="","Last service missing. ",IF(NOT(ISNUMBER($D463)),"Last service isn't a date. ",IF(OR($D463&lt;18264,$D463&lt;&gt;INT($D463)),"Last service isn't a valid date. ",IF($D463&gt;AsOf,"Last service is after the as-of date. ",""))))&amp;IF($E463="","Interval missing.",IF(NOT(ISNUMBER($E463)),"Interval must be a number.",IF($E463&lt;&gt;INT($E463),"Interval must be whole months.",IF(OR($E463&lt;1,$E463&gt;240),"Interval must be 1-240 months.",""))))))</f>
        <v/>
      </c>
      <c r="J463" s="17" t="str">
        <f aca="false">IF(AND($A463="",$B463="",$C463="",$D463="",$E463=""),"",IF('Due List'!$B$4="Check details",IF($G463="Check details",ROW(),""),IF('Due List'!$B$4="All records",IF($G463="Check details",ROW()/100000,$F463+ROW()/100000),IF(OR($G463="Overdue",$G463="Due today",$G463="Due in next 30 days"),$F463+ROW()/100000,""))))</f>
        <v/>
      </c>
    </row>
    <row r="464" customFormat="false" ht="15" hidden="false" customHeight="false" outlineLevel="0" collapsed="false">
      <c r="A464" s="11"/>
      <c r="B464" s="11"/>
      <c r="C464" s="11"/>
      <c r="D464" s="12"/>
      <c r="E464" s="13"/>
      <c r="F464" s="14" t="str">
        <f aca="false">IF(OR(AND($A464="",$B464="",$C464="",$D464="",$E464=""),$I464&lt;&gt;""),"",EDATE($D464,$E464))</f>
        <v/>
      </c>
      <c r="G464" s="6" t="str">
        <f aca="false">IF(AND($A464="",$B464="",$C464="",$D464="",$E464=""),"",IF($I464&lt;&gt;"","Check details",IF($F464&lt;AsOf,"Overdue",IF($F464=AsOf,"Due today",IF($F464&lt;=AsOf+30,"Due in next 30 days","Later")))))</f>
        <v/>
      </c>
      <c r="H464" s="15" t="str">
        <f aca="false">IF($F464="","",$F464-AsOf)</f>
        <v/>
      </c>
      <c r="I464" s="16" t="str">
        <f aca="false">IF(AND($A464="",$B464="",$C464="",$D464="",$E464=""),"",TRIM(IF($A464="","Name missing. ","")&amp;IF($B464="","Site missing. ","")&amp;IF($D464="","Last service missing. ",IF(NOT(ISNUMBER($D464)),"Last service isn't a date. ",IF(OR($D464&lt;18264,$D464&lt;&gt;INT($D464)),"Last service isn't a valid date. ",IF($D464&gt;AsOf,"Last service is after the as-of date. ",""))))&amp;IF($E464="","Interval missing.",IF(NOT(ISNUMBER($E464)),"Interval must be a number.",IF($E464&lt;&gt;INT($E464),"Interval must be whole months.",IF(OR($E464&lt;1,$E464&gt;240),"Interval must be 1-240 months.",""))))))</f>
        <v/>
      </c>
      <c r="J464" s="17" t="str">
        <f aca="false">IF(AND($A464="",$B464="",$C464="",$D464="",$E464=""),"",IF('Due List'!$B$4="Check details",IF($G464="Check details",ROW(),""),IF('Due List'!$B$4="All records",IF($G464="Check details",ROW()/100000,$F464+ROW()/100000),IF(OR($G464="Overdue",$G464="Due today",$G464="Due in next 30 days"),$F464+ROW()/100000,""))))</f>
        <v/>
      </c>
    </row>
    <row r="465" customFormat="false" ht="15" hidden="false" customHeight="false" outlineLevel="0" collapsed="false">
      <c r="A465" s="11"/>
      <c r="B465" s="11"/>
      <c r="C465" s="11"/>
      <c r="D465" s="12"/>
      <c r="E465" s="13"/>
      <c r="F465" s="14" t="str">
        <f aca="false">IF(OR(AND($A465="",$B465="",$C465="",$D465="",$E465=""),$I465&lt;&gt;""),"",EDATE($D465,$E465))</f>
        <v/>
      </c>
      <c r="G465" s="6" t="str">
        <f aca="false">IF(AND($A465="",$B465="",$C465="",$D465="",$E465=""),"",IF($I465&lt;&gt;"","Check details",IF($F465&lt;AsOf,"Overdue",IF($F465=AsOf,"Due today",IF($F465&lt;=AsOf+30,"Due in next 30 days","Later")))))</f>
        <v/>
      </c>
      <c r="H465" s="15" t="str">
        <f aca="false">IF($F465="","",$F465-AsOf)</f>
        <v/>
      </c>
      <c r="I465" s="16" t="str">
        <f aca="false">IF(AND($A465="",$B465="",$C465="",$D465="",$E465=""),"",TRIM(IF($A465="","Name missing. ","")&amp;IF($B465="","Site missing. ","")&amp;IF($D465="","Last service missing. ",IF(NOT(ISNUMBER($D465)),"Last service isn't a date. ",IF(OR($D465&lt;18264,$D465&lt;&gt;INT($D465)),"Last service isn't a valid date. ",IF($D465&gt;AsOf,"Last service is after the as-of date. ",""))))&amp;IF($E465="","Interval missing.",IF(NOT(ISNUMBER($E465)),"Interval must be a number.",IF($E465&lt;&gt;INT($E465),"Interval must be whole months.",IF(OR($E465&lt;1,$E465&gt;240),"Interval must be 1-240 months.",""))))))</f>
        <v/>
      </c>
      <c r="J465" s="17" t="str">
        <f aca="false">IF(AND($A465="",$B465="",$C465="",$D465="",$E465=""),"",IF('Due List'!$B$4="Check details",IF($G465="Check details",ROW(),""),IF('Due List'!$B$4="All records",IF($G465="Check details",ROW()/100000,$F465+ROW()/100000),IF(OR($G465="Overdue",$G465="Due today",$G465="Due in next 30 days"),$F465+ROW()/100000,""))))</f>
        <v/>
      </c>
    </row>
    <row r="466" customFormat="false" ht="15" hidden="false" customHeight="false" outlineLevel="0" collapsed="false">
      <c r="A466" s="11"/>
      <c r="B466" s="11"/>
      <c r="C466" s="11"/>
      <c r="D466" s="12"/>
      <c r="E466" s="13"/>
      <c r="F466" s="14" t="str">
        <f aca="false">IF(OR(AND($A466="",$B466="",$C466="",$D466="",$E466=""),$I466&lt;&gt;""),"",EDATE($D466,$E466))</f>
        <v/>
      </c>
      <c r="G466" s="6" t="str">
        <f aca="false">IF(AND($A466="",$B466="",$C466="",$D466="",$E466=""),"",IF($I466&lt;&gt;"","Check details",IF($F466&lt;AsOf,"Overdue",IF($F466=AsOf,"Due today",IF($F466&lt;=AsOf+30,"Due in next 30 days","Later")))))</f>
        <v/>
      </c>
      <c r="H466" s="15" t="str">
        <f aca="false">IF($F466="","",$F466-AsOf)</f>
        <v/>
      </c>
      <c r="I466" s="16" t="str">
        <f aca="false">IF(AND($A466="",$B466="",$C466="",$D466="",$E466=""),"",TRIM(IF($A466="","Name missing. ","")&amp;IF($B466="","Site missing. ","")&amp;IF($D466="","Last service missing. ",IF(NOT(ISNUMBER($D466)),"Last service isn't a date. ",IF(OR($D466&lt;18264,$D466&lt;&gt;INT($D466)),"Last service isn't a valid date. ",IF($D466&gt;AsOf,"Last service is after the as-of date. ",""))))&amp;IF($E466="","Interval missing.",IF(NOT(ISNUMBER($E466)),"Interval must be a number.",IF($E466&lt;&gt;INT($E466),"Interval must be whole months.",IF(OR($E466&lt;1,$E466&gt;240),"Interval must be 1-240 months.",""))))))</f>
        <v/>
      </c>
      <c r="J466" s="17" t="str">
        <f aca="false">IF(AND($A466="",$B466="",$C466="",$D466="",$E466=""),"",IF('Due List'!$B$4="Check details",IF($G466="Check details",ROW(),""),IF('Due List'!$B$4="All records",IF($G466="Check details",ROW()/100000,$F466+ROW()/100000),IF(OR($G466="Overdue",$G466="Due today",$G466="Due in next 30 days"),$F466+ROW()/100000,""))))</f>
        <v/>
      </c>
    </row>
    <row r="467" customFormat="false" ht="15" hidden="false" customHeight="false" outlineLevel="0" collapsed="false">
      <c r="A467" s="11"/>
      <c r="B467" s="11"/>
      <c r="C467" s="11"/>
      <c r="D467" s="12"/>
      <c r="E467" s="13"/>
      <c r="F467" s="14" t="str">
        <f aca="false">IF(OR(AND($A467="",$B467="",$C467="",$D467="",$E467=""),$I467&lt;&gt;""),"",EDATE($D467,$E467))</f>
        <v/>
      </c>
      <c r="G467" s="6" t="str">
        <f aca="false">IF(AND($A467="",$B467="",$C467="",$D467="",$E467=""),"",IF($I467&lt;&gt;"","Check details",IF($F467&lt;AsOf,"Overdue",IF($F467=AsOf,"Due today",IF($F467&lt;=AsOf+30,"Due in next 30 days","Later")))))</f>
        <v/>
      </c>
      <c r="H467" s="15" t="str">
        <f aca="false">IF($F467="","",$F467-AsOf)</f>
        <v/>
      </c>
      <c r="I467" s="16" t="str">
        <f aca="false">IF(AND($A467="",$B467="",$C467="",$D467="",$E467=""),"",TRIM(IF($A467="","Name missing. ","")&amp;IF($B467="","Site missing. ","")&amp;IF($D467="","Last service missing. ",IF(NOT(ISNUMBER($D467)),"Last service isn't a date. ",IF(OR($D467&lt;18264,$D467&lt;&gt;INT($D467)),"Last service isn't a valid date. ",IF($D467&gt;AsOf,"Last service is after the as-of date. ",""))))&amp;IF($E467="","Interval missing.",IF(NOT(ISNUMBER($E467)),"Interval must be a number.",IF($E467&lt;&gt;INT($E467),"Interval must be whole months.",IF(OR($E467&lt;1,$E467&gt;240),"Interval must be 1-240 months.",""))))))</f>
        <v/>
      </c>
      <c r="J467" s="17" t="str">
        <f aca="false">IF(AND($A467="",$B467="",$C467="",$D467="",$E467=""),"",IF('Due List'!$B$4="Check details",IF($G467="Check details",ROW(),""),IF('Due List'!$B$4="All records",IF($G467="Check details",ROW()/100000,$F467+ROW()/100000),IF(OR($G467="Overdue",$G467="Due today",$G467="Due in next 30 days"),$F467+ROW()/100000,""))))</f>
        <v/>
      </c>
    </row>
    <row r="468" customFormat="false" ht="15" hidden="false" customHeight="false" outlineLevel="0" collapsed="false">
      <c r="A468" s="11"/>
      <c r="B468" s="11"/>
      <c r="C468" s="11"/>
      <c r="D468" s="12"/>
      <c r="E468" s="13"/>
      <c r="F468" s="14" t="str">
        <f aca="false">IF(OR(AND($A468="",$B468="",$C468="",$D468="",$E468=""),$I468&lt;&gt;""),"",EDATE($D468,$E468))</f>
        <v/>
      </c>
      <c r="G468" s="6" t="str">
        <f aca="false">IF(AND($A468="",$B468="",$C468="",$D468="",$E468=""),"",IF($I468&lt;&gt;"","Check details",IF($F468&lt;AsOf,"Overdue",IF($F468=AsOf,"Due today",IF($F468&lt;=AsOf+30,"Due in next 30 days","Later")))))</f>
        <v/>
      </c>
      <c r="H468" s="15" t="str">
        <f aca="false">IF($F468="","",$F468-AsOf)</f>
        <v/>
      </c>
      <c r="I468" s="16" t="str">
        <f aca="false">IF(AND($A468="",$B468="",$C468="",$D468="",$E468=""),"",TRIM(IF($A468="","Name missing. ","")&amp;IF($B468="","Site missing. ","")&amp;IF($D468="","Last service missing. ",IF(NOT(ISNUMBER($D468)),"Last service isn't a date. ",IF(OR($D468&lt;18264,$D468&lt;&gt;INT($D468)),"Last service isn't a valid date. ",IF($D468&gt;AsOf,"Last service is after the as-of date. ",""))))&amp;IF($E468="","Interval missing.",IF(NOT(ISNUMBER($E468)),"Interval must be a number.",IF($E468&lt;&gt;INT($E468),"Interval must be whole months.",IF(OR($E468&lt;1,$E468&gt;240),"Interval must be 1-240 months.",""))))))</f>
        <v/>
      </c>
      <c r="J468" s="17" t="str">
        <f aca="false">IF(AND($A468="",$B468="",$C468="",$D468="",$E468=""),"",IF('Due List'!$B$4="Check details",IF($G468="Check details",ROW(),""),IF('Due List'!$B$4="All records",IF($G468="Check details",ROW()/100000,$F468+ROW()/100000),IF(OR($G468="Overdue",$G468="Due today",$G468="Due in next 30 days"),$F468+ROW()/100000,""))))</f>
        <v/>
      </c>
    </row>
    <row r="469" customFormat="false" ht="15" hidden="false" customHeight="false" outlineLevel="0" collapsed="false">
      <c r="A469" s="11"/>
      <c r="B469" s="11"/>
      <c r="C469" s="11"/>
      <c r="D469" s="12"/>
      <c r="E469" s="13"/>
      <c r="F469" s="14" t="str">
        <f aca="false">IF(OR(AND($A469="",$B469="",$C469="",$D469="",$E469=""),$I469&lt;&gt;""),"",EDATE($D469,$E469))</f>
        <v/>
      </c>
      <c r="G469" s="6" t="str">
        <f aca="false">IF(AND($A469="",$B469="",$C469="",$D469="",$E469=""),"",IF($I469&lt;&gt;"","Check details",IF($F469&lt;AsOf,"Overdue",IF($F469=AsOf,"Due today",IF($F469&lt;=AsOf+30,"Due in next 30 days","Later")))))</f>
        <v/>
      </c>
      <c r="H469" s="15" t="str">
        <f aca="false">IF($F469="","",$F469-AsOf)</f>
        <v/>
      </c>
      <c r="I469" s="16" t="str">
        <f aca="false">IF(AND($A469="",$B469="",$C469="",$D469="",$E469=""),"",TRIM(IF($A469="","Name missing. ","")&amp;IF($B469="","Site missing. ","")&amp;IF($D469="","Last service missing. ",IF(NOT(ISNUMBER($D469)),"Last service isn't a date. ",IF(OR($D469&lt;18264,$D469&lt;&gt;INT($D469)),"Last service isn't a valid date. ",IF($D469&gt;AsOf,"Last service is after the as-of date. ",""))))&amp;IF($E469="","Interval missing.",IF(NOT(ISNUMBER($E469)),"Interval must be a number.",IF($E469&lt;&gt;INT($E469),"Interval must be whole months.",IF(OR($E469&lt;1,$E469&gt;240),"Interval must be 1-240 months.",""))))))</f>
        <v/>
      </c>
      <c r="J469" s="17" t="str">
        <f aca="false">IF(AND($A469="",$B469="",$C469="",$D469="",$E469=""),"",IF('Due List'!$B$4="Check details",IF($G469="Check details",ROW(),""),IF('Due List'!$B$4="All records",IF($G469="Check details",ROW()/100000,$F469+ROW()/100000),IF(OR($G469="Overdue",$G469="Due today",$G469="Due in next 30 days"),$F469+ROW()/100000,""))))</f>
        <v/>
      </c>
    </row>
    <row r="470" customFormat="false" ht="15" hidden="false" customHeight="false" outlineLevel="0" collapsed="false">
      <c r="A470" s="11"/>
      <c r="B470" s="11"/>
      <c r="C470" s="11"/>
      <c r="D470" s="12"/>
      <c r="E470" s="13"/>
      <c r="F470" s="14" t="str">
        <f aca="false">IF(OR(AND($A470="",$B470="",$C470="",$D470="",$E470=""),$I470&lt;&gt;""),"",EDATE($D470,$E470))</f>
        <v/>
      </c>
      <c r="G470" s="6" t="str">
        <f aca="false">IF(AND($A470="",$B470="",$C470="",$D470="",$E470=""),"",IF($I470&lt;&gt;"","Check details",IF($F470&lt;AsOf,"Overdue",IF($F470=AsOf,"Due today",IF($F470&lt;=AsOf+30,"Due in next 30 days","Later")))))</f>
        <v/>
      </c>
      <c r="H470" s="15" t="str">
        <f aca="false">IF($F470="","",$F470-AsOf)</f>
        <v/>
      </c>
      <c r="I470" s="16" t="str">
        <f aca="false">IF(AND($A470="",$B470="",$C470="",$D470="",$E470=""),"",TRIM(IF($A470="","Name missing. ","")&amp;IF($B470="","Site missing. ","")&amp;IF($D470="","Last service missing. ",IF(NOT(ISNUMBER($D470)),"Last service isn't a date. ",IF(OR($D470&lt;18264,$D470&lt;&gt;INT($D470)),"Last service isn't a valid date. ",IF($D470&gt;AsOf,"Last service is after the as-of date. ",""))))&amp;IF($E470="","Interval missing.",IF(NOT(ISNUMBER($E470)),"Interval must be a number.",IF($E470&lt;&gt;INT($E470),"Interval must be whole months.",IF(OR($E470&lt;1,$E470&gt;240),"Interval must be 1-240 months.",""))))))</f>
        <v/>
      </c>
      <c r="J470" s="17" t="str">
        <f aca="false">IF(AND($A470="",$B470="",$C470="",$D470="",$E470=""),"",IF('Due List'!$B$4="Check details",IF($G470="Check details",ROW(),""),IF('Due List'!$B$4="All records",IF($G470="Check details",ROW()/100000,$F470+ROW()/100000),IF(OR($G470="Overdue",$G470="Due today",$G470="Due in next 30 days"),$F470+ROW()/100000,""))))</f>
        <v/>
      </c>
    </row>
    <row r="471" customFormat="false" ht="15" hidden="false" customHeight="false" outlineLevel="0" collapsed="false">
      <c r="A471" s="11"/>
      <c r="B471" s="11"/>
      <c r="C471" s="11"/>
      <c r="D471" s="12"/>
      <c r="E471" s="13"/>
      <c r="F471" s="14" t="str">
        <f aca="false">IF(OR(AND($A471="",$B471="",$C471="",$D471="",$E471=""),$I471&lt;&gt;""),"",EDATE($D471,$E471))</f>
        <v/>
      </c>
      <c r="G471" s="6" t="str">
        <f aca="false">IF(AND($A471="",$B471="",$C471="",$D471="",$E471=""),"",IF($I471&lt;&gt;"","Check details",IF($F471&lt;AsOf,"Overdue",IF($F471=AsOf,"Due today",IF($F471&lt;=AsOf+30,"Due in next 30 days","Later")))))</f>
        <v/>
      </c>
      <c r="H471" s="15" t="str">
        <f aca="false">IF($F471="","",$F471-AsOf)</f>
        <v/>
      </c>
      <c r="I471" s="16" t="str">
        <f aca="false">IF(AND($A471="",$B471="",$C471="",$D471="",$E471=""),"",TRIM(IF($A471="","Name missing. ","")&amp;IF($B471="","Site missing. ","")&amp;IF($D471="","Last service missing. ",IF(NOT(ISNUMBER($D471)),"Last service isn't a date. ",IF(OR($D471&lt;18264,$D471&lt;&gt;INT($D471)),"Last service isn't a valid date. ",IF($D471&gt;AsOf,"Last service is after the as-of date. ",""))))&amp;IF($E471="","Interval missing.",IF(NOT(ISNUMBER($E471)),"Interval must be a number.",IF($E471&lt;&gt;INT($E471),"Interval must be whole months.",IF(OR($E471&lt;1,$E471&gt;240),"Interval must be 1-240 months.",""))))))</f>
        <v/>
      </c>
      <c r="J471" s="17" t="str">
        <f aca="false">IF(AND($A471="",$B471="",$C471="",$D471="",$E471=""),"",IF('Due List'!$B$4="Check details",IF($G471="Check details",ROW(),""),IF('Due List'!$B$4="All records",IF($G471="Check details",ROW()/100000,$F471+ROW()/100000),IF(OR($G471="Overdue",$G471="Due today",$G471="Due in next 30 days"),$F471+ROW()/100000,""))))</f>
        <v/>
      </c>
    </row>
    <row r="472" customFormat="false" ht="15" hidden="false" customHeight="false" outlineLevel="0" collapsed="false">
      <c r="A472" s="11"/>
      <c r="B472" s="11"/>
      <c r="C472" s="11"/>
      <c r="D472" s="12"/>
      <c r="E472" s="13"/>
      <c r="F472" s="14" t="str">
        <f aca="false">IF(OR(AND($A472="",$B472="",$C472="",$D472="",$E472=""),$I472&lt;&gt;""),"",EDATE($D472,$E472))</f>
        <v/>
      </c>
      <c r="G472" s="6" t="str">
        <f aca="false">IF(AND($A472="",$B472="",$C472="",$D472="",$E472=""),"",IF($I472&lt;&gt;"","Check details",IF($F472&lt;AsOf,"Overdue",IF($F472=AsOf,"Due today",IF($F472&lt;=AsOf+30,"Due in next 30 days","Later")))))</f>
        <v/>
      </c>
      <c r="H472" s="15" t="str">
        <f aca="false">IF($F472="","",$F472-AsOf)</f>
        <v/>
      </c>
      <c r="I472" s="16" t="str">
        <f aca="false">IF(AND($A472="",$B472="",$C472="",$D472="",$E472=""),"",TRIM(IF($A472="","Name missing. ","")&amp;IF($B472="","Site missing. ","")&amp;IF($D472="","Last service missing. ",IF(NOT(ISNUMBER($D472)),"Last service isn't a date. ",IF(OR($D472&lt;18264,$D472&lt;&gt;INT($D472)),"Last service isn't a valid date. ",IF($D472&gt;AsOf,"Last service is after the as-of date. ",""))))&amp;IF($E472="","Interval missing.",IF(NOT(ISNUMBER($E472)),"Interval must be a number.",IF($E472&lt;&gt;INT($E472),"Interval must be whole months.",IF(OR($E472&lt;1,$E472&gt;240),"Interval must be 1-240 months.",""))))))</f>
        <v/>
      </c>
      <c r="J472" s="17" t="str">
        <f aca="false">IF(AND($A472="",$B472="",$C472="",$D472="",$E472=""),"",IF('Due List'!$B$4="Check details",IF($G472="Check details",ROW(),""),IF('Due List'!$B$4="All records",IF($G472="Check details",ROW()/100000,$F472+ROW()/100000),IF(OR($G472="Overdue",$G472="Due today",$G472="Due in next 30 days"),$F472+ROW()/100000,""))))</f>
        <v/>
      </c>
    </row>
    <row r="473" customFormat="false" ht="15" hidden="false" customHeight="false" outlineLevel="0" collapsed="false">
      <c r="A473" s="11"/>
      <c r="B473" s="11"/>
      <c r="C473" s="11"/>
      <c r="D473" s="12"/>
      <c r="E473" s="13"/>
      <c r="F473" s="14" t="str">
        <f aca="false">IF(OR(AND($A473="",$B473="",$C473="",$D473="",$E473=""),$I473&lt;&gt;""),"",EDATE($D473,$E473))</f>
        <v/>
      </c>
      <c r="G473" s="6" t="str">
        <f aca="false">IF(AND($A473="",$B473="",$C473="",$D473="",$E473=""),"",IF($I473&lt;&gt;"","Check details",IF($F473&lt;AsOf,"Overdue",IF($F473=AsOf,"Due today",IF($F473&lt;=AsOf+30,"Due in next 30 days","Later")))))</f>
        <v/>
      </c>
      <c r="H473" s="15" t="str">
        <f aca="false">IF($F473="","",$F473-AsOf)</f>
        <v/>
      </c>
      <c r="I473" s="16" t="str">
        <f aca="false">IF(AND($A473="",$B473="",$C473="",$D473="",$E473=""),"",TRIM(IF($A473="","Name missing. ","")&amp;IF($B473="","Site missing. ","")&amp;IF($D473="","Last service missing. ",IF(NOT(ISNUMBER($D473)),"Last service isn't a date. ",IF(OR($D473&lt;18264,$D473&lt;&gt;INT($D473)),"Last service isn't a valid date. ",IF($D473&gt;AsOf,"Last service is after the as-of date. ",""))))&amp;IF($E473="","Interval missing.",IF(NOT(ISNUMBER($E473)),"Interval must be a number.",IF($E473&lt;&gt;INT($E473),"Interval must be whole months.",IF(OR($E473&lt;1,$E473&gt;240),"Interval must be 1-240 months.",""))))))</f>
        <v/>
      </c>
      <c r="J473" s="17" t="str">
        <f aca="false">IF(AND($A473="",$B473="",$C473="",$D473="",$E473=""),"",IF('Due List'!$B$4="Check details",IF($G473="Check details",ROW(),""),IF('Due List'!$B$4="All records",IF($G473="Check details",ROW()/100000,$F473+ROW()/100000),IF(OR($G473="Overdue",$G473="Due today",$G473="Due in next 30 days"),$F473+ROW()/100000,""))))</f>
        <v/>
      </c>
    </row>
    <row r="474" customFormat="false" ht="15" hidden="false" customHeight="false" outlineLevel="0" collapsed="false">
      <c r="A474" s="11"/>
      <c r="B474" s="11"/>
      <c r="C474" s="11"/>
      <c r="D474" s="12"/>
      <c r="E474" s="13"/>
      <c r="F474" s="14" t="str">
        <f aca="false">IF(OR(AND($A474="",$B474="",$C474="",$D474="",$E474=""),$I474&lt;&gt;""),"",EDATE($D474,$E474))</f>
        <v/>
      </c>
      <c r="G474" s="6" t="str">
        <f aca="false">IF(AND($A474="",$B474="",$C474="",$D474="",$E474=""),"",IF($I474&lt;&gt;"","Check details",IF($F474&lt;AsOf,"Overdue",IF($F474=AsOf,"Due today",IF($F474&lt;=AsOf+30,"Due in next 30 days","Later")))))</f>
        <v/>
      </c>
      <c r="H474" s="15" t="str">
        <f aca="false">IF($F474="","",$F474-AsOf)</f>
        <v/>
      </c>
      <c r="I474" s="16" t="str">
        <f aca="false">IF(AND($A474="",$B474="",$C474="",$D474="",$E474=""),"",TRIM(IF($A474="","Name missing. ","")&amp;IF($B474="","Site missing. ","")&amp;IF($D474="","Last service missing. ",IF(NOT(ISNUMBER($D474)),"Last service isn't a date. ",IF(OR($D474&lt;18264,$D474&lt;&gt;INT($D474)),"Last service isn't a valid date. ",IF($D474&gt;AsOf,"Last service is after the as-of date. ",""))))&amp;IF($E474="","Interval missing.",IF(NOT(ISNUMBER($E474)),"Interval must be a number.",IF($E474&lt;&gt;INT($E474),"Interval must be whole months.",IF(OR($E474&lt;1,$E474&gt;240),"Interval must be 1-240 months.",""))))))</f>
        <v/>
      </c>
      <c r="J474" s="17" t="str">
        <f aca="false">IF(AND($A474="",$B474="",$C474="",$D474="",$E474=""),"",IF('Due List'!$B$4="Check details",IF($G474="Check details",ROW(),""),IF('Due List'!$B$4="All records",IF($G474="Check details",ROW()/100000,$F474+ROW()/100000),IF(OR($G474="Overdue",$G474="Due today",$G474="Due in next 30 days"),$F474+ROW()/100000,""))))</f>
        <v/>
      </c>
    </row>
    <row r="475" customFormat="false" ht="15" hidden="false" customHeight="false" outlineLevel="0" collapsed="false">
      <c r="A475" s="11"/>
      <c r="B475" s="11"/>
      <c r="C475" s="11"/>
      <c r="D475" s="12"/>
      <c r="E475" s="13"/>
      <c r="F475" s="14" t="str">
        <f aca="false">IF(OR(AND($A475="",$B475="",$C475="",$D475="",$E475=""),$I475&lt;&gt;""),"",EDATE($D475,$E475))</f>
        <v/>
      </c>
      <c r="G475" s="6" t="str">
        <f aca="false">IF(AND($A475="",$B475="",$C475="",$D475="",$E475=""),"",IF($I475&lt;&gt;"","Check details",IF($F475&lt;AsOf,"Overdue",IF($F475=AsOf,"Due today",IF($F475&lt;=AsOf+30,"Due in next 30 days","Later")))))</f>
        <v/>
      </c>
      <c r="H475" s="15" t="str">
        <f aca="false">IF($F475="","",$F475-AsOf)</f>
        <v/>
      </c>
      <c r="I475" s="16" t="str">
        <f aca="false">IF(AND($A475="",$B475="",$C475="",$D475="",$E475=""),"",TRIM(IF($A475="","Name missing. ","")&amp;IF($B475="","Site missing. ","")&amp;IF($D475="","Last service missing. ",IF(NOT(ISNUMBER($D475)),"Last service isn't a date. ",IF(OR($D475&lt;18264,$D475&lt;&gt;INT($D475)),"Last service isn't a valid date. ",IF($D475&gt;AsOf,"Last service is after the as-of date. ",""))))&amp;IF($E475="","Interval missing.",IF(NOT(ISNUMBER($E475)),"Interval must be a number.",IF($E475&lt;&gt;INT($E475),"Interval must be whole months.",IF(OR($E475&lt;1,$E475&gt;240),"Interval must be 1-240 months.",""))))))</f>
        <v/>
      </c>
      <c r="J475" s="17" t="str">
        <f aca="false">IF(AND($A475="",$B475="",$C475="",$D475="",$E475=""),"",IF('Due List'!$B$4="Check details",IF($G475="Check details",ROW(),""),IF('Due List'!$B$4="All records",IF($G475="Check details",ROW()/100000,$F475+ROW()/100000),IF(OR($G475="Overdue",$G475="Due today",$G475="Due in next 30 days"),$F475+ROW()/100000,""))))</f>
        <v/>
      </c>
    </row>
    <row r="476" customFormat="false" ht="15" hidden="false" customHeight="false" outlineLevel="0" collapsed="false">
      <c r="A476" s="11"/>
      <c r="B476" s="11"/>
      <c r="C476" s="11"/>
      <c r="D476" s="12"/>
      <c r="E476" s="13"/>
      <c r="F476" s="14" t="str">
        <f aca="false">IF(OR(AND($A476="",$B476="",$C476="",$D476="",$E476=""),$I476&lt;&gt;""),"",EDATE($D476,$E476))</f>
        <v/>
      </c>
      <c r="G476" s="6" t="str">
        <f aca="false">IF(AND($A476="",$B476="",$C476="",$D476="",$E476=""),"",IF($I476&lt;&gt;"","Check details",IF($F476&lt;AsOf,"Overdue",IF($F476=AsOf,"Due today",IF($F476&lt;=AsOf+30,"Due in next 30 days","Later")))))</f>
        <v/>
      </c>
      <c r="H476" s="15" t="str">
        <f aca="false">IF($F476="","",$F476-AsOf)</f>
        <v/>
      </c>
      <c r="I476" s="16" t="str">
        <f aca="false">IF(AND($A476="",$B476="",$C476="",$D476="",$E476=""),"",TRIM(IF($A476="","Name missing. ","")&amp;IF($B476="","Site missing. ","")&amp;IF($D476="","Last service missing. ",IF(NOT(ISNUMBER($D476)),"Last service isn't a date. ",IF(OR($D476&lt;18264,$D476&lt;&gt;INT($D476)),"Last service isn't a valid date. ",IF($D476&gt;AsOf,"Last service is after the as-of date. ",""))))&amp;IF($E476="","Interval missing.",IF(NOT(ISNUMBER($E476)),"Interval must be a number.",IF($E476&lt;&gt;INT($E476),"Interval must be whole months.",IF(OR($E476&lt;1,$E476&gt;240),"Interval must be 1-240 months.",""))))))</f>
        <v/>
      </c>
      <c r="J476" s="17" t="str">
        <f aca="false">IF(AND($A476="",$B476="",$C476="",$D476="",$E476=""),"",IF('Due List'!$B$4="Check details",IF($G476="Check details",ROW(),""),IF('Due List'!$B$4="All records",IF($G476="Check details",ROW()/100000,$F476+ROW()/100000),IF(OR($G476="Overdue",$G476="Due today",$G476="Due in next 30 days"),$F476+ROW()/100000,""))))</f>
        <v/>
      </c>
    </row>
    <row r="477" customFormat="false" ht="15" hidden="false" customHeight="false" outlineLevel="0" collapsed="false">
      <c r="A477" s="11"/>
      <c r="B477" s="11"/>
      <c r="C477" s="11"/>
      <c r="D477" s="12"/>
      <c r="E477" s="13"/>
      <c r="F477" s="14" t="str">
        <f aca="false">IF(OR(AND($A477="",$B477="",$C477="",$D477="",$E477=""),$I477&lt;&gt;""),"",EDATE($D477,$E477))</f>
        <v/>
      </c>
      <c r="G477" s="6" t="str">
        <f aca="false">IF(AND($A477="",$B477="",$C477="",$D477="",$E477=""),"",IF($I477&lt;&gt;"","Check details",IF($F477&lt;AsOf,"Overdue",IF($F477=AsOf,"Due today",IF($F477&lt;=AsOf+30,"Due in next 30 days","Later")))))</f>
        <v/>
      </c>
      <c r="H477" s="15" t="str">
        <f aca="false">IF($F477="","",$F477-AsOf)</f>
        <v/>
      </c>
      <c r="I477" s="16" t="str">
        <f aca="false">IF(AND($A477="",$B477="",$C477="",$D477="",$E477=""),"",TRIM(IF($A477="","Name missing. ","")&amp;IF($B477="","Site missing. ","")&amp;IF($D477="","Last service missing. ",IF(NOT(ISNUMBER($D477)),"Last service isn't a date. ",IF(OR($D477&lt;18264,$D477&lt;&gt;INT($D477)),"Last service isn't a valid date. ",IF($D477&gt;AsOf,"Last service is after the as-of date. ",""))))&amp;IF($E477="","Interval missing.",IF(NOT(ISNUMBER($E477)),"Interval must be a number.",IF($E477&lt;&gt;INT($E477),"Interval must be whole months.",IF(OR($E477&lt;1,$E477&gt;240),"Interval must be 1-240 months.",""))))))</f>
        <v/>
      </c>
      <c r="J477" s="17" t="str">
        <f aca="false">IF(AND($A477="",$B477="",$C477="",$D477="",$E477=""),"",IF('Due List'!$B$4="Check details",IF($G477="Check details",ROW(),""),IF('Due List'!$B$4="All records",IF($G477="Check details",ROW()/100000,$F477+ROW()/100000),IF(OR($G477="Overdue",$G477="Due today",$G477="Due in next 30 days"),$F477+ROW()/100000,""))))</f>
        <v/>
      </c>
    </row>
    <row r="478" customFormat="false" ht="15" hidden="false" customHeight="false" outlineLevel="0" collapsed="false">
      <c r="A478" s="11"/>
      <c r="B478" s="11"/>
      <c r="C478" s="11"/>
      <c r="D478" s="12"/>
      <c r="E478" s="13"/>
      <c r="F478" s="14" t="str">
        <f aca="false">IF(OR(AND($A478="",$B478="",$C478="",$D478="",$E478=""),$I478&lt;&gt;""),"",EDATE($D478,$E478))</f>
        <v/>
      </c>
      <c r="G478" s="6" t="str">
        <f aca="false">IF(AND($A478="",$B478="",$C478="",$D478="",$E478=""),"",IF($I478&lt;&gt;"","Check details",IF($F478&lt;AsOf,"Overdue",IF($F478=AsOf,"Due today",IF($F478&lt;=AsOf+30,"Due in next 30 days","Later")))))</f>
        <v/>
      </c>
      <c r="H478" s="15" t="str">
        <f aca="false">IF($F478="","",$F478-AsOf)</f>
        <v/>
      </c>
      <c r="I478" s="16" t="str">
        <f aca="false">IF(AND($A478="",$B478="",$C478="",$D478="",$E478=""),"",TRIM(IF($A478="","Name missing. ","")&amp;IF($B478="","Site missing. ","")&amp;IF($D478="","Last service missing. ",IF(NOT(ISNUMBER($D478)),"Last service isn't a date. ",IF(OR($D478&lt;18264,$D478&lt;&gt;INT($D478)),"Last service isn't a valid date. ",IF($D478&gt;AsOf,"Last service is after the as-of date. ",""))))&amp;IF($E478="","Interval missing.",IF(NOT(ISNUMBER($E478)),"Interval must be a number.",IF($E478&lt;&gt;INT($E478),"Interval must be whole months.",IF(OR($E478&lt;1,$E478&gt;240),"Interval must be 1-240 months.",""))))))</f>
        <v/>
      </c>
      <c r="J478" s="17" t="str">
        <f aca="false">IF(AND($A478="",$B478="",$C478="",$D478="",$E478=""),"",IF('Due List'!$B$4="Check details",IF($G478="Check details",ROW(),""),IF('Due List'!$B$4="All records",IF($G478="Check details",ROW()/100000,$F478+ROW()/100000),IF(OR($G478="Overdue",$G478="Due today",$G478="Due in next 30 days"),$F478+ROW()/100000,""))))</f>
        <v/>
      </c>
    </row>
    <row r="479" customFormat="false" ht="15" hidden="false" customHeight="false" outlineLevel="0" collapsed="false">
      <c r="A479" s="11"/>
      <c r="B479" s="11"/>
      <c r="C479" s="11"/>
      <c r="D479" s="12"/>
      <c r="E479" s="13"/>
      <c r="F479" s="14" t="str">
        <f aca="false">IF(OR(AND($A479="",$B479="",$C479="",$D479="",$E479=""),$I479&lt;&gt;""),"",EDATE($D479,$E479))</f>
        <v/>
      </c>
      <c r="G479" s="6" t="str">
        <f aca="false">IF(AND($A479="",$B479="",$C479="",$D479="",$E479=""),"",IF($I479&lt;&gt;"","Check details",IF($F479&lt;AsOf,"Overdue",IF($F479=AsOf,"Due today",IF($F479&lt;=AsOf+30,"Due in next 30 days","Later")))))</f>
        <v/>
      </c>
      <c r="H479" s="15" t="str">
        <f aca="false">IF($F479="","",$F479-AsOf)</f>
        <v/>
      </c>
      <c r="I479" s="16" t="str">
        <f aca="false">IF(AND($A479="",$B479="",$C479="",$D479="",$E479=""),"",TRIM(IF($A479="","Name missing. ","")&amp;IF($B479="","Site missing. ","")&amp;IF($D479="","Last service missing. ",IF(NOT(ISNUMBER($D479)),"Last service isn't a date. ",IF(OR($D479&lt;18264,$D479&lt;&gt;INT($D479)),"Last service isn't a valid date. ",IF($D479&gt;AsOf,"Last service is after the as-of date. ",""))))&amp;IF($E479="","Interval missing.",IF(NOT(ISNUMBER($E479)),"Interval must be a number.",IF($E479&lt;&gt;INT($E479),"Interval must be whole months.",IF(OR($E479&lt;1,$E479&gt;240),"Interval must be 1-240 months.",""))))))</f>
        <v/>
      </c>
      <c r="J479" s="17" t="str">
        <f aca="false">IF(AND($A479="",$B479="",$C479="",$D479="",$E479=""),"",IF('Due List'!$B$4="Check details",IF($G479="Check details",ROW(),""),IF('Due List'!$B$4="All records",IF($G479="Check details",ROW()/100000,$F479+ROW()/100000),IF(OR($G479="Overdue",$G479="Due today",$G479="Due in next 30 days"),$F479+ROW()/100000,""))))</f>
        <v/>
      </c>
    </row>
    <row r="480" customFormat="false" ht="15" hidden="false" customHeight="false" outlineLevel="0" collapsed="false">
      <c r="A480" s="11"/>
      <c r="B480" s="11"/>
      <c r="C480" s="11"/>
      <c r="D480" s="12"/>
      <c r="E480" s="13"/>
      <c r="F480" s="14" t="str">
        <f aca="false">IF(OR(AND($A480="",$B480="",$C480="",$D480="",$E480=""),$I480&lt;&gt;""),"",EDATE($D480,$E480))</f>
        <v/>
      </c>
      <c r="G480" s="6" t="str">
        <f aca="false">IF(AND($A480="",$B480="",$C480="",$D480="",$E480=""),"",IF($I480&lt;&gt;"","Check details",IF($F480&lt;AsOf,"Overdue",IF($F480=AsOf,"Due today",IF($F480&lt;=AsOf+30,"Due in next 30 days","Later")))))</f>
        <v/>
      </c>
      <c r="H480" s="15" t="str">
        <f aca="false">IF($F480="","",$F480-AsOf)</f>
        <v/>
      </c>
      <c r="I480" s="16" t="str">
        <f aca="false">IF(AND($A480="",$B480="",$C480="",$D480="",$E480=""),"",TRIM(IF($A480="","Name missing. ","")&amp;IF($B480="","Site missing. ","")&amp;IF($D480="","Last service missing. ",IF(NOT(ISNUMBER($D480)),"Last service isn't a date. ",IF(OR($D480&lt;18264,$D480&lt;&gt;INT($D480)),"Last service isn't a valid date. ",IF($D480&gt;AsOf,"Last service is after the as-of date. ",""))))&amp;IF($E480="","Interval missing.",IF(NOT(ISNUMBER($E480)),"Interval must be a number.",IF($E480&lt;&gt;INT($E480),"Interval must be whole months.",IF(OR($E480&lt;1,$E480&gt;240),"Interval must be 1-240 months.",""))))))</f>
        <v/>
      </c>
      <c r="J480" s="17" t="str">
        <f aca="false">IF(AND($A480="",$B480="",$C480="",$D480="",$E480=""),"",IF('Due List'!$B$4="Check details",IF($G480="Check details",ROW(),""),IF('Due List'!$B$4="All records",IF($G480="Check details",ROW()/100000,$F480+ROW()/100000),IF(OR($G480="Overdue",$G480="Due today",$G480="Due in next 30 days"),$F480+ROW()/100000,""))))</f>
        <v/>
      </c>
    </row>
    <row r="481" customFormat="false" ht="15" hidden="false" customHeight="false" outlineLevel="0" collapsed="false">
      <c r="A481" s="11"/>
      <c r="B481" s="11"/>
      <c r="C481" s="11"/>
      <c r="D481" s="12"/>
      <c r="E481" s="13"/>
      <c r="F481" s="14" t="str">
        <f aca="false">IF(OR(AND($A481="",$B481="",$C481="",$D481="",$E481=""),$I481&lt;&gt;""),"",EDATE($D481,$E481))</f>
        <v/>
      </c>
      <c r="G481" s="6" t="str">
        <f aca="false">IF(AND($A481="",$B481="",$C481="",$D481="",$E481=""),"",IF($I481&lt;&gt;"","Check details",IF($F481&lt;AsOf,"Overdue",IF($F481=AsOf,"Due today",IF($F481&lt;=AsOf+30,"Due in next 30 days","Later")))))</f>
        <v/>
      </c>
      <c r="H481" s="15" t="str">
        <f aca="false">IF($F481="","",$F481-AsOf)</f>
        <v/>
      </c>
      <c r="I481" s="16" t="str">
        <f aca="false">IF(AND($A481="",$B481="",$C481="",$D481="",$E481=""),"",TRIM(IF($A481="","Name missing. ","")&amp;IF($B481="","Site missing. ","")&amp;IF($D481="","Last service missing. ",IF(NOT(ISNUMBER($D481)),"Last service isn't a date. ",IF(OR($D481&lt;18264,$D481&lt;&gt;INT($D481)),"Last service isn't a valid date. ",IF($D481&gt;AsOf,"Last service is after the as-of date. ",""))))&amp;IF($E481="","Interval missing.",IF(NOT(ISNUMBER($E481)),"Interval must be a number.",IF($E481&lt;&gt;INT($E481),"Interval must be whole months.",IF(OR($E481&lt;1,$E481&gt;240),"Interval must be 1-240 months.",""))))))</f>
        <v/>
      </c>
      <c r="J481" s="17" t="str">
        <f aca="false">IF(AND($A481="",$B481="",$C481="",$D481="",$E481=""),"",IF('Due List'!$B$4="Check details",IF($G481="Check details",ROW(),""),IF('Due List'!$B$4="All records",IF($G481="Check details",ROW()/100000,$F481+ROW()/100000),IF(OR($G481="Overdue",$G481="Due today",$G481="Due in next 30 days"),$F481+ROW()/100000,""))))</f>
        <v/>
      </c>
    </row>
    <row r="482" customFormat="false" ht="15" hidden="false" customHeight="false" outlineLevel="0" collapsed="false">
      <c r="A482" s="11"/>
      <c r="B482" s="11"/>
      <c r="C482" s="11"/>
      <c r="D482" s="12"/>
      <c r="E482" s="13"/>
      <c r="F482" s="14" t="str">
        <f aca="false">IF(OR(AND($A482="",$B482="",$C482="",$D482="",$E482=""),$I482&lt;&gt;""),"",EDATE($D482,$E482))</f>
        <v/>
      </c>
      <c r="G482" s="6" t="str">
        <f aca="false">IF(AND($A482="",$B482="",$C482="",$D482="",$E482=""),"",IF($I482&lt;&gt;"","Check details",IF($F482&lt;AsOf,"Overdue",IF($F482=AsOf,"Due today",IF($F482&lt;=AsOf+30,"Due in next 30 days","Later")))))</f>
        <v/>
      </c>
      <c r="H482" s="15" t="str">
        <f aca="false">IF($F482="","",$F482-AsOf)</f>
        <v/>
      </c>
      <c r="I482" s="16" t="str">
        <f aca="false">IF(AND($A482="",$B482="",$C482="",$D482="",$E482=""),"",TRIM(IF($A482="","Name missing. ","")&amp;IF($B482="","Site missing. ","")&amp;IF($D482="","Last service missing. ",IF(NOT(ISNUMBER($D482)),"Last service isn't a date. ",IF(OR($D482&lt;18264,$D482&lt;&gt;INT($D482)),"Last service isn't a valid date. ",IF($D482&gt;AsOf,"Last service is after the as-of date. ",""))))&amp;IF($E482="","Interval missing.",IF(NOT(ISNUMBER($E482)),"Interval must be a number.",IF($E482&lt;&gt;INT($E482),"Interval must be whole months.",IF(OR($E482&lt;1,$E482&gt;240),"Interval must be 1-240 months.",""))))))</f>
        <v/>
      </c>
      <c r="J482" s="17" t="str">
        <f aca="false">IF(AND($A482="",$B482="",$C482="",$D482="",$E482=""),"",IF('Due List'!$B$4="Check details",IF($G482="Check details",ROW(),""),IF('Due List'!$B$4="All records",IF($G482="Check details",ROW()/100000,$F482+ROW()/100000),IF(OR($G482="Overdue",$G482="Due today",$G482="Due in next 30 days"),$F482+ROW()/100000,""))))</f>
        <v/>
      </c>
    </row>
    <row r="483" customFormat="false" ht="15" hidden="false" customHeight="false" outlineLevel="0" collapsed="false">
      <c r="A483" s="11"/>
      <c r="B483" s="11"/>
      <c r="C483" s="11"/>
      <c r="D483" s="12"/>
      <c r="E483" s="13"/>
      <c r="F483" s="14" t="str">
        <f aca="false">IF(OR(AND($A483="",$B483="",$C483="",$D483="",$E483=""),$I483&lt;&gt;""),"",EDATE($D483,$E483))</f>
        <v/>
      </c>
      <c r="G483" s="6" t="str">
        <f aca="false">IF(AND($A483="",$B483="",$C483="",$D483="",$E483=""),"",IF($I483&lt;&gt;"","Check details",IF($F483&lt;AsOf,"Overdue",IF($F483=AsOf,"Due today",IF($F483&lt;=AsOf+30,"Due in next 30 days","Later")))))</f>
        <v/>
      </c>
      <c r="H483" s="15" t="str">
        <f aca="false">IF($F483="","",$F483-AsOf)</f>
        <v/>
      </c>
      <c r="I483" s="16" t="str">
        <f aca="false">IF(AND($A483="",$B483="",$C483="",$D483="",$E483=""),"",TRIM(IF($A483="","Name missing. ","")&amp;IF($B483="","Site missing. ","")&amp;IF($D483="","Last service missing. ",IF(NOT(ISNUMBER($D483)),"Last service isn't a date. ",IF(OR($D483&lt;18264,$D483&lt;&gt;INT($D483)),"Last service isn't a valid date. ",IF($D483&gt;AsOf,"Last service is after the as-of date. ",""))))&amp;IF($E483="","Interval missing.",IF(NOT(ISNUMBER($E483)),"Interval must be a number.",IF($E483&lt;&gt;INT($E483),"Interval must be whole months.",IF(OR($E483&lt;1,$E483&gt;240),"Interval must be 1-240 months.",""))))))</f>
        <v/>
      </c>
      <c r="J483" s="17" t="str">
        <f aca="false">IF(AND($A483="",$B483="",$C483="",$D483="",$E483=""),"",IF('Due List'!$B$4="Check details",IF($G483="Check details",ROW(),""),IF('Due List'!$B$4="All records",IF($G483="Check details",ROW()/100000,$F483+ROW()/100000),IF(OR($G483="Overdue",$G483="Due today",$G483="Due in next 30 days"),$F483+ROW()/100000,""))))</f>
        <v/>
      </c>
    </row>
    <row r="484" customFormat="false" ht="15" hidden="false" customHeight="false" outlineLevel="0" collapsed="false">
      <c r="A484" s="11"/>
      <c r="B484" s="11"/>
      <c r="C484" s="11"/>
      <c r="D484" s="12"/>
      <c r="E484" s="13"/>
      <c r="F484" s="14" t="str">
        <f aca="false">IF(OR(AND($A484="",$B484="",$C484="",$D484="",$E484=""),$I484&lt;&gt;""),"",EDATE($D484,$E484))</f>
        <v/>
      </c>
      <c r="G484" s="6" t="str">
        <f aca="false">IF(AND($A484="",$B484="",$C484="",$D484="",$E484=""),"",IF($I484&lt;&gt;"","Check details",IF($F484&lt;AsOf,"Overdue",IF($F484=AsOf,"Due today",IF($F484&lt;=AsOf+30,"Due in next 30 days","Later")))))</f>
        <v/>
      </c>
      <c r="H484" s="15" t="str">
        <f aca="false">IF($F484="","",$F484-AsOf)</f>
        <v/>
      </c>
      <c r="I484" s="16" t="str">
        <f aca="false">IF(AND($A484="",$B484="",$C484="",$D484="",$E484=""),"",TRIM(IF($A484="","Name missing. ","")&amp;IF($B484="","Site missing. ","")&amp;IF($D484="","Last service missing. ",IF(NOT(ISNUMBER($D484)),"Last service isn't a date. ",IF(OR($D484&lt;18264,$D484&lt;&gt;INT($D484)),"Last service isn't a valid date. ",IF($D484&gt;AsOf,"Last service is after the as-of date. ",""))))&amp;IF($E484="","Interval missing.",IF(NOT(ISNUMBER($E484)),"Interval must be a number.",IF($E484&lt;&gt;INT($E484),"Interval must be whole months.",IF(OR($E484&lt;1,$E484&gt;240),"Interval must be 1-240 months.",""))))))</f>
        <v/>
      </c>
      <c r="J484" s="17" t="str">
        <f aca="false">IF(AND($A484="",$B484="",$C484="",$D484="",$E484=""),"",IF('Due List'!$B$4="Check details",IF($G484="Check details",ROW(),""),IF('Due List'!$B$4="All records",IF($G484="Check details",ROW()/100000,$F484+ROW()/100000),IF(OR($G484="Overdue",$G484="Due today",$G484="Due in next 30 days"),$F484+ROW()/100000,""))))</f>
        <v/>
      </c>
    </row>
    <row r="485" customFormat="false" ht="15" hidden="false" customHeight="false" outlineLevel="0" collapsed="false">
      <c r="A485" s="11"/>
      <c r="B485" s="11"/>
      <c r="C485" s="11"/>
      <c r="D485" s="12"/>
      <c r="E485" s="13"/>
      <c r="F485" s="14" t="str">
        <f aca="false">IF(OR(AND($A485="",$B485="",$C485="",$D485="",$E485=""),$I485&lt;&gt;""),"",EDATE($D485,$E485))</f>
        <v/>
      </c>
      <c r="G485" s="6" t="str">
        <f aca="false">IF(AND($A485="",$B485="",$C485="",$D485="",$E485=""),"",IF($I485&lt;&gt;"","Check details",IF($F485&lt;AsOf,"Overdue",IF($F485=AsOf,"Due today",IF($F485&lt;=AsOf+30,"Due in next 30 days","Later")))))</f>
        <v/>
      </c>
      <c r="H485" s="15" t="str">
        <f aca="false">IF($F485="","",$F485-AsOf)</f>
        <v/>
      </c>
      <c r="I485" s="16" t="str">
        <f aca="false">IF(AND($A485="",$B485="",$C485="",$D485="",$E485=""),"",TRIM(IF($A485="","Name missing. ","")&amp;IF($B485="","Site missing. ","")&amp;IF($D485="","Last service missing. ",IF(NOT(ISNUMBER($D485)),"Last service isn't a date. ",IF(OR($D485&lt;18264,$D485&lt;&gt;INT($D485)),"Last service isn't a valid date. ",IF($D485&gt;AsOf,"Last service is after the as-of date. ",""))))&amp;IF($E485="","Interval missing.",IF(NOT(ISNUMBER($E485)),"Interval must be a number.",IF($E485&lt;&gt;INT($E485),"Interval must be whole months.",IF(OR($E485&lt;1,$E485&gt;240),"Interval must be 1-240 months.",""))))))</f>
        <v/>
      </c>
      <c r="J485" s="17" t="str">
        <f aca="false">IF(AND($A485="",$B485="",$C485="",$D485="",$E485=""),"",IF('Due List'!$B$4="Check details",IF($G485="Check details",ROW(),""),IF('Due List'!$B$4="All records",IF($G485="Check details",ROW()/100000,$F485+ROW()/100000),IF(OR($G485="Overdue",$G485="Due today",$G485="Due in next 30 days"),$F485+ROW()/100000,""))))</f>
        <v/>
      </c>
    </row>
    <row r="486" customFormat="false" ht="15" hidden="false" customHeight="false" outlineLevel="0" collapsed="false">
      <c r="A486" s="11"/>
      <c r="B486" s="11"/>
      <c r="C486" s="11"/>
      <c r="D486" s="12"/>
      <c r="E486" s="13"/>
      <c r="F486" s="14" t="str">
        <f aca="false">IF(OR(AND($A486="",$B486="",$C486="",$D486="",$E486=""),$I486&lt;&gt;""),"",EDATE($D486,$E486))</f>
        <v/>
      </c>
      <c r="G486" s="6" t="str">
        <f aca="false">IF(AND($A486="",$B486="",$C486="",$D486="",$E486=""),"",IF($I486&lt;&gt;"","Check details",IF($F486&lt;AsOf,"Overdue",IF($F486=AsOf,"Due today",IF($F486&lt;=AsOf+30,"Due in next 30 days","Later")))))</f>
        <v/>
      </c>
      <c r="H486" s="15" t="str">
        <f aca="false">IF($F486="","",$F486-AsOf)</f>
        <v/>
      </c>
      <c r="I486" s="16" t="str">
        <f aca="false">IF(AND($A486="",$B486="",$C486="",$D486="",$E486=""),"",TRIM(IF($A486="","Name missing. ","")&amp;IF($B486="","Site missing. ","")&amp;IF($D486="","Last service missing. ",IF(NOT(ISNUMBER($D486)),"Last service isn't a date. ",IF(OR($D486&lt;18264,$D486&lt;&gt;INT($D486)),"Last service isn't a valid date. ",IF($D486&gt;AsOf,"Last service is after the as-of date. ",""))))&amp;IF($E486="","Interval missing.",IF(NOT(ISNUMBER($E486)),"Interval must be a number.",IF($E486&lt;&gt;INT($E486),"Interval must be whole months.",IF(OR($E486&lt;1,$E486&gt;240),"Interval must be 1-240 months.",""))))))</f>
        <v/>
      </c>
      <c r="J486" s="17" t="str">
        <f aca="false">IF(AND($A486="",$B486="",$C486="",$D486="",$E486=""),"",IF('Due List'!$B$4="Check details",IF($G486="Check details",ROW(),""),IF('Due List'!$B$4="All records",IF($G486="Check details",ROW()/100000,$F486+ROW()/100000),IF(OR($G486="Overdue",$G486="Due today",$G486="Due in next 30 days"),$F486+ROW()/100000,""))))</f>
        <v/>
      </c>
    </row>
    <row r="487" customFormat="false" ht="15" hidden="false" customHeight="false" outlineLevel="0" collapsed="false">
      <c r="A487" s="11"/>
      <c r="B487" s="11"/>
      <c r="C487" s="11"/>
      <c r="D487" s="12"/>
      <c r="E487" s="13"/>
      <c r="F487" s="14" t="str">
        <f aca="false">IF(OR(AND($A487="",$B487="",$C487="",$D487="",$E487=""),$I487&lt;&gt;""),"",EDATE($D487,$E487))</f>
        <v/>
      </c>
      <c r="G487" s="6" t="str">
        <f aca="false">IF(AND($A487="",$B487="",$C487="",$D487="",$E487=""),"",IF($I487&lt;&gt;"","Check details",IF($F487&lt;AsOf,"Overdue",IF($F487=AsOf,"Due today",IF($F487&lt;=AsOf+30,"Due in next 30 days","Later")))))</f>
        <v/>
      </c>
      <c r="H487" s="15" t="str">
        <f aca="false">IF($F487="","",$F487-AsOf)</f>
        <v/>
      </c>
      <c r="I487" s="16" t="str">
        <f aca="false">IF(AND($A487="",$B487="",$C487="",$D487="",$E487=""),"",TRIM(IF($A487="","Name missing. ","")&amp;IF($B487="","Site missing. ","")&amp;IF($D487="","Last service missing. ",IF(NOT(ISNUMBER($D487)),"Last service isn't a date. ",IF(OR($D487&lt;18264,$D487&lt;&gt;INT($D487)),"Last service isn't a valid date. ",IF($D487&gt;AsOf,"Last service is after the as-of date. ",""))))&amp;IF($E487="","Interval missing.",IF(NOT(ISNUMBER($E487)),"Interval must be a number.",IF($E487&lt;&gt;INT($E487),"Interval must be whole months.",IF(OR($E487&lt;1,$E487&gt;240),"Interval must be 1-240 months.",""))))))</f>
        <v/>
      </c>
      <c r="J487" s="17" t="str">
        <f aca="false">IF(AND($A487="",$B487="",$C487="",$D487="",$E487=""),"",IF('Due List'!$B$4="Check details",IF($G487="Check details",ROW(),""),IF('Due List'!$B$4="All records",IF($G487="Check details",ROW()/100000,$F487+ROW()/100000),IF(OR($G487="Overdue",$G487="Due today",$G487="Due in next 30 days"),$F487+ROW()/100000,""))))</f>
        <v/>
      </c>
    </row>
    <row r="488" customFormat="false" ht="15" hidden="false" customHeight="false" outlineLevel="0" collapsed="false">
      <c r="A488" s="11"/>
      <c r="B488" s="11"/>
      <c r="C488" s="11"/>
      <c r="D488" s="12"/>
      <c r="E488" s="13"/>
      <c r="F488" s="14" t="str">
        <f aca="false">IF(OR(AND($A488="",$B488="",$C488="",$D488="",$E488=""),$I488&lt;&gt;""),"",EDATE($D488,$E488))</f>
        <v/>
      </c>
      <c r="G488" s="6" t="str">
        <f aca="false">IF(AND($A488="",$B488="",$C488="",$D488="",$E488=""),"",IF($I488&lt;&gt;"","Check details",IF($F488&lt;AsOf,"Overdue",IF($F488=AsOf,"Due today",IF($F488&lt;=AsOf+30,"Due in next 30 days","Later")))))</f>
        <v/>
      </c>
      <c r="H488" s="15" t="str">
        <f aca="false">IF($F488="","",$F488-AsOf)</f>
        <v/>
      </c>
      <c r="I488" s="16" t="str">
        <f aca="false">IF(AND($A488="",$B488="",$C488="",$D488="",$E488=""),"",TRIM(IF($A488="","Name missing. ","")&amp;IF($B488="","Site missing. ","")&amp;IF($D488="","Last service missing. ",IF(NOT(ISNUMBER($D488)),"Last service isn't a date. ",IF(OR($D488&lt;18264,$D488&lt;&gt;INT($D488)),"Last service isn't a valid date. ",IF($D488&gt;AsOf,"Last service is after the as-of date. ",""))))&amp;IF($E488="","Interval missing.",IF(NOT(ISNUMBER($E488)),"Interval must be a number.",IF($E488&lt;&gt;INT($E488),"Interval must be whole months.",IF(OR($E488&lt;1,$E488&gt;240),"Interval must be 1-240 months.",""))))))</f>
        <v/>
      </c>
      <c r="J488" s="17" t="str">
        <f aca="false">IF(AND($A488="",$B488="",$C488="",$D488="",$E488=""),"",IF('Due List'!$B$4="Check details",IF($G488="Check details",ROW(),""),IF('Due List'!$B$4="All records",IF($G488="Check details",ROW()/100000,$F488+ROW()/100000),IF(OR($G488="Overdue",$G488="Due today",$G488="Due in next 30 days"),$F488+ROW()/100000,""))))</f>
        <v/>
      </c>
    </row>
    <row r="489" customFormat="false" ht="15" hidden="false" customHeight="false" outlineLevel="0" collapsed="false">
      <c r="A489" s="11"/>
      <c r="B489" s="11"/>
      <c r="C489" s="11"/>
      <c r="D489" s="12"/>
      <c r="E489" s="13"/>
      <c r="F489" s="14" t="str">
        <f aca="false">IF(OR(AND($A489="",$B489="",$C489="",$D489="",$E489=""),$I489&lt;&gt;""),"",EDATE($D489,$E489))</f>
        <v/>
      </c>
      <c r="G489" s="6" t="str">
        <f aca="false">IF(AND($A489="",$B489="",$C489="",$D489="",$E489=""),"",IF($I489&lt;&gt;"","Check details",IF($F489&lt;AsOf,"Overdue",IF($F489=AsOf,"Due today",IF($F489&lt;=AsOf+30,"Due in next 30 days","Later")))))</f>
        <v/>
      </c>
      <c r="H489" s="15" t="str">
        <f aca="false">IF($F489="","",$F489-AsOf)</f>
        <v/>
      </c>
      <c r="I489" s="16" t="str">
        <f aca="false">IF(AND($A489="",$B489="",$C489="",$D489="",$E489=""),"",TRIM(IF($A489="","Name missing. ","")&amp;IF($B489="","Site missing. ","")&amp;IF($D489="","Last service missing. ",IF(NOT(ISNUMBER($D489)),"Last service isn't a date. ",IF(OR($D489&lt;18264,$D489&lt;&gt;INT($D489)),"Last service isn't a valid date. ",IF($D489&gt;AsOf,"Last service is after the as-of date. ",""))))&amp;IF($E489="","Interval missing.",IF(NOT(ISNUMBER($E489)),"Interval must be a number.",IF($E489&lt;&gt;INT($E489),"Interval must be whole months.",IF(OR($E489&lt;1,$E489&gt;240),"Interval must be 1-240 months.",""))))))</f>
        <v/>
      </c>
      <c r="J489" s="17" t="str">
        <f aca="false">IF(AND($A489="",$B489="",$C489="",$D489="",$E489=""),"",IF('Due List'!$B$4="Check details",IF($G489="Check details",ROW(),""),IF('Due List'!$B$4="All records",IF($G489="Check details",ROW()/100000,$F489+ROW()/100000),IF(OR($G489="Overdue",$G489="Due today",$G489="Due in next 30 days"),$F489+ROW()/100000,""))))</f>
        <v/>
      </c>
    </row>
    <row r="490" customFormat="false" ht="15" hidden="false" customHeight="false" outlineLevel="0" collapsed="false">
      <c r="A490" s="11"/>
      <c r="B490" s="11"/>
      <c r="C490" s="11"/>
      <c r="D490" s="12"/>
      <c r="E490" s="13"/>
      <c r="F490" s="14" t="str">
        <f aca="false">IF(OR(AND($A490="",$B490="",$C490="",$D490="",$E490=""),$I490&lt;&gt;""),"",EDATE($D490,$E490))</f>
        <v/>
      </c>
      <c r="G490" s="6" t="str">
        <f aca="false">IF(AND($A490="",$B490="",$C490="",$D490="",$E490=""),"",IF($I490&lt;&gt;"","Check details",IF($F490&lt;AsOf,"Overdue",IF($F490=AsOf,"Due today",IF($F490&lt;=AsOf+30,"Due in next 30 days","Later")))))</f>
        <v/>
      </c>
      <c r="H490" s="15" t="str">
        <f aca="false">IF($F490="","",$F490-AsOf)</f>
        <v/>
      </c>
      <c r="I490" s="16" t="str">
        <f aca="false">IF(AND($A490="",$B490="",$C490="",$D490="",$E490=""),"",TRIM(IF($A490="","Name missing. ","")&amp;IF($B490="","Site missing. ","")&amp;IF($D490="","Last service missing. ",IF(NOT(ISNUMBER($D490)),"Last service isn't a date. ",IF(OR($D490&lt;18264,$D490&lt;&gt;INT($D490)),"Last service isn't a valid date. ",IF($D490&gt;AsOf,"Last service is after the as-of date. ",""))))&amp;IF($E490="","Interval missing.",IF(NOT(ISNUMBER($E490)),"Interval must be a number.",IF($E490&lt;&gt;INT($E490),"Interval must be whole months.",IF(OR($E490&lt;1,$E490&gt;240),"Interval must be 1-240 months.",""))))))</f>
        <v/>
      </c>
      <c r="J490" s="17" t="str">
        <f aca="false">IF(AND($A490="",$B490="",$C490="",$D490="",$E490=""),"",IF('Due List'!$B$4="Check details",IF($G490="Check details",ROW(),""),IF('Due List'!$B$4="All records",IF($G490="Check details",ROW()/100000,$F490+ROW()/100000),IF(OR($G490="Overdue",$G490="Due today",$G490="Due in next 30 days"),$F490+ROW()/100000,""))))</f>
        <v/>
      </c>
    </row>
    <row r="491" customFormat="false" ht="15" hidden="false" customHeight="false" outlineLevel="0" collapsed="false">
      <c r="A491" s="11"/>
      <c r="B491" s="11"/>
      <c r="C491" s="11"/>
      <c r="D491" s="12"/>
      <c r="E491" s="13"/>
      <c r="F491" s="14" t="str">
        <f aca="false">IF(OR(AND($A491="",$B491="",$C491="",$D491="",$E491=""),$I491&lt;&gt;""),"",EDATE($D491,$E491))</f>
        <v/>
      </c>
      <c r="G491" s="6" t="str">
        <f aca="false">IF(AND($A491="",$B491="",$C491="",$D491="",$E491=""),"",IF($I491&lt;&gt;"","Check details",IF($F491&lt;AsOf,"Overdue",IF($F491=AsOf,"Due today",IF($F491&lt;=AsOf+30,"Due in next 30 days","Later")))))</f>
        <v/>
      </c>
      <c r="H491" s="15" t="str">
        <f aca="false">IF($F491="","",$F491-AsOf)</f>
        <v/>
      </c>
      <c r="I491" s="16" t="str">
        <f aca="false">IF(AND($A491="",$B491="",$C491="",$D491="",$E491=""),"",TRIM(IF($A491="","Name missing. ","")&amp;IF($B491="","Site missing. ","")&amp;IF($D491="","Last service missing. ",IF(NOT(ISNUMBER($D491)),"Last service isn't a date. ",IF(OR($D491&lt;18264,$D491&lt;&gt;INT($D491)),"Last service isn't a valid date. ",IF($D491&gt;AsOf,"Last service is after the as-of date. ",""))))&amp;IF($E491="","Interval missing.",IF(NOT(ISNUMBER($E491)),"Interval must be a number.",IF($E491&lt;&gt;INT($E491),"Interval must be whole months.",IF(OR($E491&lt;1,$E491&gt;240),"Interval must be 1-240 months.",""))))))</f>
        <v/>
      </c>
      <c r="J491" s="17" t="str">
        <f aca="false">IF(AND($A491="",$B491="",$C491="",$D491="",$E491=""),"",IF('Due List'!$B$4="Check details",IF($G491="Check details",ROW(),""),IF('Due List'!$B$4="All records",IF($G491="Check details",ROW()/100000,$F491+ROW()/100000),IF(OR($G491="Overdue",$G491="Due today",$G491="Due in next 30 days"),$F491+ROW()/100000,""))))</f>
        <v/>
      </c>
    </row>
    <row r="492" customFormat="false" ht="15" hidden="false" customHeight="false" outlineLevel="0" collapsed="false">
      <c r="A492" s="11"/>
      <c r="B492" s="11"/>
      <c r="C492" s="11"/>
      <c r="D492" s="12"/>
      <c r="E492" s="13"/>
      <c r="F492" s="14" t="str">
        <f aca="false">IF(OR(AND($A492="",$B492="",$C492="",$D492="",$E492=""),$I492&lt;&gt;""),"",EDATE($D492,$E492))</f>
        <v/>
      </c>
      <c r="G492" s="6" t="str">
        <f aca="false">IF(AND($A492="",$B492="",$C492="",$D492="",$E492=""),"",IF($I492&lt;&gt;"","Check details",IF($F492&lt;AsOf,"Overdue",IF($F492=AsOf,"Due today",IF($F492&lt;=AsOf+30,"Due in next 30 days","Later")))))</f>
        <v/>
      </c>
      <c r="H492" s="15" t="str">
        <f aca="false">IF($F492="","",$F492-AsOf)</f>
        <v/>
      </c>
      <c r="I492" s="16" t="str">
        <f aca="false">IF(AND($A492="",$B492="",$C492="",$D492="",$E492=""),"",TRIM(IF($A492="","Name missing. ","")&amp;IF($B492="","Site missing. ","")&amp;IF($D492="","Last service missing. ",IF(NOT(ISNUMBER($D492)),"Last service isn't a date. ",IF(OR($D492&lt;18264,$D492&lt;&gt;INT($D492)),"Last service isn't a valid date. ",IF($D492&gt;AsOf,"Last service is after the as-of date. ",""))))&amp;IF($E492="","Interval missing.",IF(NOT(ISNUMBER($E492)),"Interval must be a number.",IF($E492&lt;&gt;INT($E492),"Interval must be whole months.",IF(OR($E492&lt;1,$E492&gt;240),"Interval must be 1-240 months.",""))))))</f>
        <v/>
      </c>
      <c r="J492" s="17" t="str">
        <f aca="false">IF(AND($A492="",$B492="",$C492="",$D492="",$E492=""),"",IF('Due List'!$B$4="Check details",IF($G492="Check details",ROW(),""),IF('Due List'!$B$4="All records",IF($G492="Check details",ROW()/100000,$F492+ROW()/100000),IF(OR($G492="Overdue",$G492="Due today",$G492="Due in next 30 days"),$F492+ROW()/100000,""))))</f>
        <v/>
      </c>
    </row>
    <row r="493" customFormat="false" ht="15" hidden="false" customHeight="false" outlineLevel="0" collapsed="false">
      <c r="A493" s="11"/>
      <c r="B493" s="11"/>
      <c r="C493" s="11"/>
      <c r="D493" s="12"/>
      <c r="E493" s="13"/>
      <c r="F493" s="14" t="str">
        <f aca="false">IF(OR(AND($A493="",$B493="",$C493="",$D493="",$E493=""),$I493&lt;&gt;""),"",EDATE($D493,$E493))</f>
        <v/>
      </c>
      <c r="G493" s="6" t="str">
        <f aca="false">IF(AND($A493="",$B493="",$C493="",$D493="",$E493=""),"",IF($I493&lt;&gt;"","Check details",IF($F493&lt;AsOf,"Overdue",IF($F493=AsOf,"Due today",IF($F493&lt;=AsOf+30,"Due in next 30 days","Later")))))</f>
        <v/>
      </c>
      <c r="H493" s="15" t="str">
        <f aca="false">IF($F493="","",$F493-AsOf)</f>
        <v/>
      </c>
      <c r="I493" s="16" t="str">
        <f aca="false">IF(AND($A493="",$B493="",$C493="",$D493="",$E493=""),"",TRIM(IF($A493="","Name missing. ","")&amp;IF($B493="","Site missing. ","")&amp;IF($D493="","Last service missing. ",IF(NOT(ISNUMBER($D493)),"Last service isn't a date. ",IF(OR($D493&lt;18264,$D493&lt;&gt;INT($D493)),"Last service isn't a valid date. ",IF($D493&gt;AsOf,"Last service is after the as-of date. ",""))))&amp;IF($E493="","Interval missing.",IF(NOT(ISNUMBER($E493)),"Interval must be a number.",IF($E493&lt;&gt;INT($E493),"Interval must be whole months.",IF(OR($E493&lt;1,$E493&gt;240),"Interval must be 1-240 months.",""))))))</f>
        <v/>
      </c>
      <c r="J493" s="17" t="str">
        <f aca="false">IF(AND($A493="",$B493="",$C493="",$D493="",$E493=""),"",IF('Due List'!$B$4="Check details",IF($G493="Check details",ROW(),""),IF('Due List'!$B$4="All records",IF($G493="Check details",ROW()/100000,$F493+ROW()/100000),IF(OR($G493="Overdue",$G493="Due today",$G493="Due in next 30 days"),$F493+ROW()/100000,""))))</f>
        <v/>
      </c>
    </row>
    <row r="494" customFormat="false" ht="15" hidden="false" customHeight="false" outlineLevel="0" collapsed="false">
      <c r="A494" s="11"/>
      <c r="B494" s="11"/>
      <c r="C494" s="11"/>
      <c r="D494" s="12"/>
      <c r="E494" s="13"/>
      <c r="F494" s="14" t="str">
        <f aca="false">IF(OR(AND($A494="",$B494="",$C494="",$D494="",$E494=""),$I494&lt;&gt;""),"",EDATE($D494,$E494))</f>
        <v/>
      </c>
      <c r="G494" s="6" t="str">
        <f aca="false">IF(AND($A494="",$B494="",$C494="",$D494="",$E494=""),"",IF($I494&lt;&gt;"","Check details",IF($F494&lt;AsOf,"Overdue",IF($F494=AsOf,"Due today",IF($F494&lt;=AsOf+30,"Due in next 30 days","Later")))))</f>
        <v/>
      </c>
      <c r="H494" s="15" t="str">
        <f aca="false">IF($F494="","",$F494-AsOf)</f>
        <v/>
      </c>
      <c r="I494" s="16" t="str">
        <f aca="false">IF(AND($A494="",$B494="",$C494="",$D494="",$E494=""),"",TRIM(IF($A494="","Name missing. ","")&amp;IF($B494="","Site missing. ","")&amp;IF($D494="","Last service missing. ",IF(NOT(ISNUMBER($D494)),"Last service isn't a date. ",IF(OR($D494&lt;18264,$D494&lt;&gt;INT($D494)),"Last service isn't a valid date. ",IF($D494&gt;AsOf,"Last service is after the as-of date. ",""))))&amp;IF($E494="","Interval missing.",IF(NOT(ISNUMBER($E494)),"Interval must be a number.",IF($E494&lt;&gt;INT($E494),"Interval must be whole months.",IF(OR($E494&lt;1,$E494&gt;240),"Interval must be 1-240 months.",""))))))</f>
        <v/>
      </c>
      <c r="J494" s="17" t="str">
        <f aca="false">IF(AND($A494="",$B494="",$C494="",$D494="",$E494=""),"",IF('Due List'!$B$4="Check details",IF($G494="Check details",ROW(),""),IF('Due List'!$B$4="All records",IF($G494="Check details",ROW()/100000,$F494+ROW()/100000),IF(OR($G494="Overdue",$G494="Due today",$G494="Due in next 30 days"),$F494+ROW()/100000,""))))</f>
        <v/>
      </c>
    </row>
    <row r="495" customFormat="false" ht="15" hidden="false" customHeight="false" outlineLevel="0" collapsed="false">
      <c r="A495" s="11"/>
      <c r="B495" s="11"/>
      <c r="C495" s="11"/>
      <c r="D495" s="12"/>
      <c r="E495" s="13"/>
      <c r="F495" s="14" t="str">
        <f aca="false">IF(OR(AND($A495="",$B495="",$C495="",$D495="",$E495=""),$I495&lt;&gt;""),"",EDATE($D495,$E495))</f>
        <v/>
      </c>
      <c r="G495" s="6" t="str">
        <f aca="false">IF(AND($A495="",$B495="",$C495="",$D495="",$E495=""),"",IF($I495&lt;&gt;"","Check details",IF($F495&lt;AsOf,"Overdue",IF($F495=AsOf,"Due today",IF($F495&lt;=AsOf+30,"Due in next 30 days","Later")))))</f>
        <v/>
      </c>
      <c r="H495" s="15" t="str">
        <f aca="false">IF($F495="","",$F495-AsOf)</f>
        <v/>
      </c>
      <c r="I495" s="16" t="str">
        <f aca="false">IF(AND($A495="",$B495="",$C495="",$D495="",$E495=""),"",TRIM(IF($A495="","Name missing. ","")&amp;IF($B495="","Site missing. ","")&amp;IF($D495="","Last service missing. ",IF(NOT(ISNUMBER($D495)),"Last service isn't a date. ",IF(OR($D495&lt;18264,$D495&lt;&gt;INT($D495)),"Last service isn't a valid date. ",IF($D495&gt;AsOf,"Last service is after the as-of date. ",""))))&amp;IF($E495="","Interval missing.",IF(NOT(ISNUMBER($E495)),"Interval must be a number.",IF($E495&lt;&gt;INT($E495),"Interval must be whole months.",IF(OR($E495&lt;1,$E495&gt;240),"Interval must be 1-240 months.",""))))))</f>
        <v/>
      </c>
      <c r="J495" s="17" t="str">
        <f aca="false">IF(AND($A495="",$B495="",$C495="",$D495="",$E495=""),"",IF('Due List'!$B$4="Check details",IF($G495="Check details",ROW(),""),IF('Due List'!$B$4="All records",IF($G495="Check details",ROW()/100000,$F495+ROW()/100000),IF(OR($G495="Overdue",$G495="Due today",$G495="Due in next 30 days"),$F495+ROW()/100000,""))))</f>
        <v/>
      </c>
    </row>
    <row r="496" customFormat="false" ht="15" hidden="false" customHeight="false" outlineLevel="0" collapsed="false">
      <c r="A496" s="11"/>
      <c r="B496" s="11"/>
      <c r="C496" s="11"/>
      <c r="D496" s="12"/>
      <c r="E496" s="13"/>
      <c r="F496" s="14" t="str">
        <f aca="false">IF(OR(AND($A496="",$B496="",$C496="",$D496="",$E496=""),$I496&lt;&gt;""),"",EDATE($D496,$E496))</f>
        <v/>
      </c>
      <c r="G496" s="6" t="str">
        <f aca="false">IF(AND($A496="",$B496="",$C496="",$D496="",$E496=""),"",IF($I496&lt;&gt;"","Check details",IF($F496&lt;AsOf,"Overdue",IF($F496=AsOf,"Due today",IF($F496&lt;=AsOf+30,"Due in next 30 days","Later")))))</f>
        <v/>
      </c>
      <c r="H496" s="15" t="str">
        <f aca="false">IF($F496="","",$F496-AsOf)</f>
        <v/>
      </c>
      <c r="I496" s="16" t="str">
        <f aca="false">IF(AND($A496="",$B496="",$C496="",$D496="",$E496=""),"",TRIM(IF($A496="","Name missing. ","")&amp;IF($B496="","Site missing. ","")&amp;IF($D496="","Last service missing. ",IF(NOT(ISNUMBER($D496)),"Last service isn't a date. ",IF(OR($D496&lt;18264,$D496&lt;&gt;INT($D496)),"Last service isn't a valid date. ",IF($D496&gt;AsOf,"Last service is after the as-of date. ",""))))&amp;IF($E496="","Interval missing.",IF(NOT(ISNUMBER($E496)),"Interval must be a number.",IF($E496&lt;&gt;INT($E496),"Interval must be whole months.",IF(OR($E496&lt;1,$E496&gt;240),"Interval must be 1-240 months.",""))))))</f>
        <v/>
      </c>
      <c r="J496" s="17" t="str">
        <f aca="false">IF(AND($A496="",$B496="",$C496="",$D496="",$E496=""),"",IF('Due List'!$B$4="Check details",IF($G496="Check details",ROW(),""),IF('Due List'!$B$4="All records",IF($G496="Check details",ROW()/100000,$F496+ROW()/100000),IF(OR($G496="Overdue",$G496="Due today",$G496="Due in next 30 days"),$F496+ROW()/100000,""))))</f>
        <v/>
      </c>
    </row>
    <row r="497" customFormat="false" ht="15" hidden="false" customHeight="false" outlineLevel="0" collapsed="false">
      <c r="A497" s="11"/>
      <c r="B497" s="11"/>
      <c r="C497" s="11"/>
      <c r="D497" s="12"/>
      <c r="E497" s="13"/>
      <c r="F497" s="14" t="str">
        <f aca="false">IF(OR(AND($A497="",$B497="",$C497="",$D497="",$E497=""),$I497&lt;&gt;""),"",EDATE($D497,$E497))</f>
        <v/>
      </c>
      <c r="G497" s="6" t="str">
        <f aca="false">IF(AND($A497="",$B497="",$C497="",$D497="",$E497=""),"",IF($I497&lt;&gt;"","Check details",IF($F497&lt;AsOf,"Overdue",IF($F497=AsOf,"Due today",IF($F497&lt;=AsOf+30,"Due in next 30 days","Later")))))</f>
        <v/>
      </c>
      <c r="H497" s="15" t="str">
        <f aca="false">IF($F497="","",$F497-AsOf)</f>
        <v/>
      </c>
      <c r="I497" s="16" t="str">
        <f aca="false">IF(AND($A497="",$B497="",$C497="",$D497="",$E497=""),"",TRIM(IF($A497="","Name missing. ","")&amp;IF($B497="","Site missing. ","")&amp;IF($D497="","Last service missing. ",IF(NOT(ISNUMBER($D497)),"Last service isn't a date. ",IF(OR($D497&lt;18264,$D497&lt;&gt;INT($D497)),"Last service isn't a valid date. ",IF($D497&gt;AsOf,"Last service is after the as-of date. ",""))))&amp;IF($E497="","Interval missing.",IF(NOT(ISNUMBER($E497)),"Interval must be a number.",IF($E497&lt;&gt;INT($E497),"Interval must be whole months.",IF(OR($E497&lt;1,$E497&gt;240),"Interval must be 1-240 months.",""))))))</f>
        <v/>
      </c>
      <c r="J497" s="17" t="str">
        <f aca="false">IF(AND($A497="",$B497="",$C497="",$D497="",$E497=""),"",IF('Due List'!$B$4="Check details",IF($G497="Check details",ROW(),""),IF('Due List'!$B$4="All records",IF($G497="Check details",ROW()/100000,$F497+ROW()/100000),IF(OR($G497="Overdue",$G497="Due today",$G497="Due in next 30 days"),$F497+ROW()/100000,""))))</f>
        <v/>
      </c>
    </row>
    <row r="498" customFormat="false" ht="15" hidden="false" customHeight="false" outlineLevel="0" collapsed="false">
      <c r="A498" s="11"/>
      <c r="B498" s="11"/>
      <c r="C498" s="11"/>
      <c r="D498" s="12"/>
      <c r="E498" s="13"/>
      <c r="F498" s="14" t="str">
        <f aca="false">IF(OR(AND($A498="",$B498="",$C498="",$D498="",$E498=""),$I498&lt;&gt;""),"",EDATE($D498,$E498))</f>
        <v/>
      </c>
      <c r="G498" s="6" t="str">
        <f aca="false">IF(AND($A498="",$B498="",$C498="",$D498="",$E498=""),"",IF($I498&lt;&gt;"","Check details",IF($F498&lt;AsOf,"Overdue",IF($F498=AsOf,"Due today",IF($F498&lt;=AsOf+30,"Due in next 30 days","Later")))))</f>
        <v/>
      </c>
      <c r="H498" s="15" t="str">
        <f aca="false">IF($F498="","",$F498-AsOf)</f>
        <v/>
      </c>
      <c r="I498" s="16" t="str">
        <f aca="false">IF(AND($A498="",$B498="",$C498="",$D498="",$E498=""),"",TRIM(IF($A498="","Name missing. ","")&amp;IF($B498="","Site missing. ","")&amp;IF($D498="","Last service missing. ",IF(NOT(ISNUMBER($D498)),"Last service isn't a date. ",IF(OR($D498&lt;18264,$D498&lt;&gt;INT($D498)),"Last service isn't a valid date. ",IF($D498&gt;AsOf,"Last service is after the as-of date. ",""))))&amp;IF($E498="","Interval missing.",IF(NOT(ISNUMBER($E498)),"Interval must be a number.",IF($E498&lt;&gt;INT($E498),"Interval must be whole months.",IF(OR($E498&lt;1,$E498&gt;240),"Interval must be 1-240 months.",""))))))</f>
        <v/>
      </c>
      <c r="J498" s="17" t="str">
        <f aca="false">IF(AND($A498="",$B498="",$C498="",$D498="",$E498=""),"",IF('Due List'!$B$4="Check details",IF($G498="Check details",ROW(),""),IF('Due List'!$B$4="All records",IF($G498="Check details",ROW()/100000,$F498+ROW()/100000),IF(OR($G498="Overdue",$G498="Due today",$G498="Due in next 30 days"),$F498+ROW()/100000,""))))</f>
        <v/>
      </c>
    </row>
    <row r="499" customFormat="false" ht="15" hidden="false" customHeight="false" outlineLevel="0" collapsed="false">
      <c r="A499" s="11"/>
      <c r="B499" s="11"/>
      <c r="C499" s="11"/>
      <c r="D499" s="12"/>
      <c r="E499" s="13"/>
      <c r="F499" s="14" t="str">
        <f aca="false">IF(OR(AND($A499="",$B499="",$C499="",$D499="",$E499=""),$I499&lt;&gt;""),"",EDATE($D499,$E499))</f>
        <v/>
      </c>
      <c r="G499" s="6" t="str">
        <f aca="false">IF(AND($A499="",$B499="",$C499="",$D499="",$E499=""),"",IF($I499&lt;&gt;"","Check details",IF($F499&lt;AsOf,"Overdue",IF($F499=AsOf,"Due today",IF($F499&lt;=AsOf+30,"Due in next 30 days","Later")))))</f>
        <v/>
      </c>
      <c r="H499" s="15" t="str">
        <f aca="false">IF($F499="","",$F499-AsOf)</f>
        <v/>
      </c>
      <c r="I499" s="16" t="str">
        <f aca="false">IF(AND($A499="",$B499="",$C499="",$D499="",$E499=""),"",TRIM(IF($A499="","Name missing. ","")&amp;IF($B499="","Site missing. ","")&amp;IF($D499="","Last service missing. ",IF(NOT(ISNUMBER($D499)),"Last service isn't a date. ",IF(OR($D499&lt;18264,$D499&lt;&gt;INT($D499)),"Last service isn't a valid date. ",IF($D499&gt;AsOf,"Last service is after the as-of date. ",""))))&amp;IF($E499="","Interval missing.",IF(NOT(ISNUMBER($E499)),"Interval must be a number.",IF($E499&lt;&gt;INT($E499),"Interval must be whole months.",IF(OR($E499&lt;1,$E499&gt;240),"Interval must be 1-240 months.",""))))))</f>
        <v/>
      </c>
      <c r="J499" s="17" t="str">
        <f aca="false">IF(AND($A499="",$B499="",$C499="",$D499="",$E499=""),"",IF('Due List'!$B$4="Check details",IF($G499="Check details",ROW(),""),IF('Due List'!$B$4="All records",IF($G499="Check details",ROW()/100000,$F499+ROW()/100000),IF(OR($G499="Overdue",$G499="Due today",$G499="Due in next 30 days"),$F499+ROW()/100000,""))))</f>
        <v/>
      </c>
    </row>
    <row r="500" customFormat="false" ht="15" hidden="false" customHeight="false" outlineLevel="0" collapsed="false">
      <c r="A500" s="11"/>
      <c r="B500" s="11"/>
      <c r="C500" s="11"/>
      <c r="D500" s="12"/>
      <c r="E500" s="13"/>
      <c r="F500" s="14" t="str">
        <f aca="false">IF(OR(AND($A500="",$B500="",$C500="",$D500="",$E500=""),$I500&lt;&gt;""),"",EDATE($D500,$E500))</f>
        <v/>
      </c>
      <c r="G500" s="6" t="str">
        <f aca="false">IF(AND($A500="",$B500="",$C500="",$D500="",$E500=""),"",IF($I500&lt;&gt;"","Check details",IF($F500&lt;AsOf,"Overdue",IF($F500=AsOf,"Due today",IF($F500&lt;=AsOf+30,"Due in next 30 days","Later")))))</f>
        <v/>
      </c>
      <c r="H500" s="15" t="str">
        <f aca="false">IF($F500="","",$F500-AsOf)</f>
        <v/>
      </c>
      <c r="I500" s="16" t="str">
        <f aca="false">IF(AND($A500="",$B500="",$C500="",$D500="",$E500=""),"",TRIM(IF($A500="","Name missing. ","")&amp;IF($B500="","Site missing. ","")&amp;IF($D500="","Last service missing. ",IF(NOT(ISNUMBER($D500)),"Last service isn't a date. ",IF(OR($D500&lt;18264,$D500&lt;&gt;INT($D500)),"Last service isn't a valid date. ",IF($D500&gt;AsOf,"Last service is after the as-of date. ",""))))&amp;IF($E500="","Interval missing.",IF(NOT(ISNUMBER($E500)),"Interval must be a number.",IF($E500&lt;&gt;INT($E500),"Interval must be whole months.",IF(OR($E500&lt;1,$E500&gt;240),"Interval must be 1-240 months.",""))))))</f>
        <v/>
      </c>
      <c r="J500" s="17" t="str">
        <f aca="false">IF(AND($A500="",$B500="",$C500="",$D500="",$E500=""),"",IF('Due List'!$B$4="Check details",IF($G500="Check details",ROW(),""),IF('Due List'!$B$4="All records",IF($G500="Check details",ROW()/100000,$F500+ROW()/100000),IF(OR($G500="Overdue",$G500="Due today",$G500="Due in next 30 days"),$F500+ROW()/100000,""))))</f>
        <v/>
      </c>
    </row>
    <row r="501" customFormat="false" ht="15" hidden="false" customHeight="false" outlineLevel="0" collapsed="false">
      <c r="A501" s="11"/>
      <c r="B501" s="11"/>
      <c r="C501" s="11"/>
      <c r="D501" s="12"/>
      <c r="E501" s="13"/>
      <c r="F501" s="14" t="str">
        <f aca="false">IF(OR(AND($A501="",$B501="",$C501="",$D501="",$E501=""),$I501&lt;&gt;""),"",EDATE($D501,$E501))</f>
        <v/>
      </c>
      <c r="G501" s="6" t="str">
        <f aca="false">IF(AND($A501="",$B501="",$C501="",$D501="",$E501=""),"",IF($I501&lt;&gt;"","Check details",IF($F501&lt;AsOf,"Overdue",IF($F501=AsOf,"Due today",IF($F501&lt;=AsOf+30,"Due in next 30 days","Later")))))</f>
        <v/>
      </c>
      <c r="H501" s="15" t="str">
        <f aca="false">IF($F501="","",$F501-AsOf)</f>
        <v/>
      </c>
      <c r="I501" s="16" t="str">
        <f aca="false">IF(AND($A501="",$B501="",$C501="",$D501="",$E501=""),"",TRIM(IF($A501="","Name missing. ","")&amp;IF($B501="","Site missing. ","")&amp;IF($D501="","Last service missing. ",IF(NOT(ISNUMBER($D501)),"Last service isn't a date. ",IF(OR($D501&lt;18264,$D501&lt;&gt;INT($D501)),"Last service isn't a valid date. ",IF($D501&gt;AsOf,"Last service is after the as-of date. ",""))))&amp;IF($E501="","Interval missing.",IF(NOT(ISNUMBER($E501)),"Interval must be a number.",IF($E501&lt;&gt;INT($E501),"Interval must be whole months.",IF(OR($E501&lt;1,$E501&gt;240),"Interval must be 1-240 months.",""))))))</f>
        <v/>
      </c>
      <c r="J501" s="17" t="str">
        <f aca="false">IF(AND($A501="",$B501="",$C501="",$D501="",$E501=""),"",IF('Due List'!$B$4="Check details",IF($G501="Check details",ROW(),""),IF('Due List'!$B$4="All records",IF($G501="Check details",ROW()/100000,$F501+ROW()/100000),IF(OR($G501="Overdue",$G501="Due today",$G501="Due in next 30 days"),$F501+ROW()/100000,""))))</f>
        <v/>
      </c>
    </row>
    <row r="502" customFormat="false" ht="15" hidden="false" customHeight="false" outlineLevel="0" collapsed="false">
      <c r="A502" s="11"/>
      <c r="B502" s="11"/>
      <c r="C502" s="11"/>
      <c r="D502" s="12"/>
      <c r="E502" s="13"/>
      <c r="F502" s="14" t="str">
        <f aca="false">IF(OR(AND($A502="",$B502="",$C502="",$D502="",$E502=""),$I502&lt;&gt;""),"",EDATE($D502,$E502))</f>
        <v/>
      </c>
      <c r="G502" s="6" t="str">
        <f aca="false">IF(AND($A502="",$B502="",$C502="",$D502="",$E502=""),"",IF($I502&lt;&gt;"","Check details",IF($F502&lt;AsOf,"Overdue",IF($F502=AsOf,"Due today",IF($F502&lt;=AsOf+30,"Due in next 30 days","Later")))))</f>
        <v/>
      </c>
      <c r="H502" s="15" t="str">
        <f aca="false">IF($F502="","",$F502-AsOf)</f>
        <v/>
      </c>
      <c r="I502" s="16" t="str">
        <f aca="false">IF(AND($A502="",$B502="",$C502="",$D502="",$E502=""),"",TRIM(IF($A502="","Name missing. ","")&amp;IF($B502="","Site missing. ","")&amp;IF($D502="","Last service missing. ",IF(NOT(ISNUMBER($D502)),"Last service isn't a date. ",IF(OR($D502&lt;18264,$D502&lt;&gt;INT($D502)),"Last service isn't a valid date. ",IF($D502&gt;AsOf,"Last service is after the as-of date. ",""))))&amp;IF($E502="","Interval missing.",IF(NOT(ISNUMBER($E502)),"Interval must be a number.",IF($E502&lt;&gt;INT($E502),"Interval must be whole months.",IF(OR($E502&lt;1,$E502&gt;240),"Interval must be 1-240 months.",""))))))</f>
        <v/>
      </c>
      <c r="J502" s="17" t="str">
        <f aca="false">IF(AND($A502="",$B502="",$C502="",$D502="",$E502=""),"",IF('Due List'!$B$4="Check details",IF($G502="Check details",ROW(),""),IF('Due List'!$B$4="All records",IF($G502="Check details",ROW()/100000,$F502+ROW()/100000),IF(OR($G502="Overdue",$G502="Due today",$G502="Due in next 30 days"),$F502+ROW()/100000,""))))</f>
        <v/>
      </c>
    </row>
    <row r="503" customFormat="false" ht="15" hidden="false" customHeight="false" outlineLevel="0" collapsed="false">
      <c r="A503" s="11"/>
      <c r="B503" s="11"/>
      <c r="C503" s="11"/>
      <c r="D503" s="12"/>
      <c r="E503" s="13"/>
      <c r="F503" s="14" t="str">
        <f aca="false">IF(OR(AND($A503="",$B503="",$C503="",$D503="",$E503=""),$I503&lt;&gt;""),"",EDATE($D503,$E503))</f>
        <v/>
      </c>
      <c r="G503" s="6" t="str">
        <f aca="false">IF(AND($A503="",$B503="",$C503="",$D503="",$E503=""),"",IF($I503&lt;&gt;"","Check details",IF($F503&lt;AsOf,"Overdue",IF($F503=AsOf,"Due today",IF($F503&lt;=AsOf+30,"Due in next 30 days","Later")))))</f>
        <v/>
      </c>
      <c r="H503" s="15" t="str">
        <f aca="false">IF($F503="","",$F503-AsOf)</f>
        <v/>
      </c>
      <c r="I503" s="16" t="str">
        <f aca="false">IF(AND($A503="",$B503="",$C503="",$D503="",$E503=""),"",TRIM(IF($A503="","Name missing. ","")&amp;IF($B503="","Site missing. ","")&amp;IF($D503="","Last service missing. ",IF(NOT(ISNUMBER($D503)),"Last service isn't a date. ",IF(OR($D503&lt;18264,$D503&lt;&gt;INT($D503)),"Last service isn't a valid date. ",IF($D503&gt;AsOf,"Last service is after the as-of date. ",""))))&amp;IF($E503="","Interval missing.",IF(NOT(ISNUMBER($E503)),"Interval must be a number.",IF($E503&lt;&gt;INT($E503),"Interval must be whole months.",IF(OR($E503&lt;1,$E503&gt;240),"Interval must be 1-240 months.",""))))))</f>
        <v/>
      </c>
      <c r="J503" s="17" t="str">
        <f aca="false">IF(AND($A503="",$B503="",$C503="",$D503="",$E503=""),"",IF('Due List'!$B$4="Check details",IF($G503="Check details",ROW(),""),IF('Due List'!$B$4="All records",IF($G503="Check details",ROW()/100000,$F503+ROW()/100000),IF(OR($G503="Overdue",$G503="Due today",$G503="Due in next 30 days"),$F503+ROW()/100000,""))))</f>
        <v/>
      </c>
    </row>
    <row r="504" customFormat="false" ht="15" hidden="false" customHeight="false" outlineLevel="0" collapsed="false">
      <c r="A504" s="11"/>
      <c r="B504" s="11"/>
      <c r="C504" s="11"/>
      <c r="D504" s="12"/>
      <c r="E504" s="13"/>
      <c r="F504" s="14" t="str">
        <f aca="false">IF(OR(AND($A504="",$B504="",$C504="",$D504="",$E504=""),$I504&lt;&gt;""),"",EDATE($D504,$E504))</f>
        <v/>
      </c>
      <c r="G504" s="6" t="str">
        <f aca="false">IF(AND($A504="",$B504="",$C504="",$D504="",$E504=""),"",IF($I504&lt;&gt;"","Check details",IF($F504&lt;AsOf,"Overdue",IF($F504=AsOf,"Due today",IF($F504&lt;=AsOf+30,"Due in next 30 days","Later")))))</f>
        <v/>
      </c>
      <c r="H504" s="15" t="str">
        <f aca="false">IF($F504="","",$F504-AsOf)</f>
        <v/>
      </c>
      <c r="I504" s="16" t="str">
        <f aca="false">IF(AND($A504="",$B504="",$C504="",$D504="",$E504=""),"",TRIM(IF($A504="","Name missing. ","")&amp;IF($B504="","Site missing. ","")&amp;IF($D504="","Last service missing. ",IF(NOT(ISNUMBER($D504)),"Last service isn't a date. ",IF(OR($D504&lt;18264,$D504&lt;&gt;INT($D504)),"Last service isn't a valid date. ",IF($D504&gt;AsOf,"Last service is after the as-of date. ",""))))&amp;IF($E504="","Interval missing.",IF(NOT(ISNUMBER($E504)),"Interval must be a number.",IF($E504&lt;&gt;INT($E504),"Interval must be whole months.",IF(OR($E504&lt;1,$E504&gt;240),"Interval must be 1-240 months.",""))))))</f>
        <v/>
      </c>
      <c r="J504" s="17" t="str">
        <f aca="false">IF(AND($A504="",$B504="",$C504="",$D504="",$E504=""),"",IF('Due List'!$B$4="Check details",IF($G504="Check details",ROW(),""),IF('Due List'!$B$4="All records",IF($G504="Check details",ROW()/100000,$F504+ROW()/100000),IF(OR($G504="Overdue",$G504="Due today",$G504="Due in next 30 days"),$F504+ROW()/100000,""))))</f>
        <v/>
      </c>
    </row>
    <row r="505" customFormat="false" ht="15" hidden="false" customHeight="false" outlineLevel="0" collapsed="false">
      <c r="A505" s="11"/>
      <c r="B505" s="11"/>
      <c r="C505" s="11"/>
      <c r="D505" s="12"/>
      <c r="E505" s="13"/>
      <c r="F505" s="14" t="str">
        <f aca="false">IF(OR(AND($A505="",$B505="",$C505="",$D505="",$E505=""),$I505&lt;&gt;""),"",EDATE($D505,$E505))</f>
        <v/>
      </c>
      <c r="G505" s="6" t="str">
        <f aca="false">IF(AND($A505="",$B505="",$C505="",$D505="",$E505=""),"",IF($I505&lt;&gt;"","Check details",IF($F505&lt;AsOf,"Overdue",IF($F505=AsOf,"Due today",IF($F505&lt;=AsOf+30,"Due in next 30 days","Later")))))</f>
        <v/>
      </c>
      <c r="H505" s="15" t="str">
        <f aca="false">IF($F505="","",$F505-AsOf)</f>
        <v/>
      </c>
      <c r="I505" s="16" t="str">
        <f aca="false">IF(AND($A505="",$B505="",$C505="",$D505="",$E505=""),"",TRIM(IF($A505="","Name missing. ","")&amp;IF($B505="","Site missing. ","")&amp;IF($D505="","Last service missing. ",IF(NOT(ISNUMBER($D505)),"Last service isn't a date. ",IF(OR($D505&lt;18264,$D505&lt;&gt;INT($D505)),"Last service isn't a valid date. ",IF($D505&gt;AsOf,"Last service is after the as-of date. ",""))))&amp;IF($E505="","Interval missing.",IF(NOT(ISNUMBER($E505)),"Interval must be a number.",IF($E505&lt;&gt;INT($E505),"Interval must be whole months.",IF(OR($E505&lt;1,$E505&gt;240),"Interval must be 1-240 months.",""))))))</f>
        <v/>
      </c>
      <c r="J505" s="17" t="str">
        <f aca="false">IF(AND($A505="",$B505="",$C505="",$D505="",$E505=""),"",IF('Due List'!$B$4="Check details",IF($G505="Check details",ROW(),""),IF('Due List'!$B$4="All records",IF($G505="Check details",ROW()/100000,$F505+ROW()/100000),IF(OR($G505="Overdue",$G505="Due today",$G505="Due in next 30 days"),$F505+ROW()/100000,""))))</f>
        <v/>
      </c>
    </row>
    <row r="506" customFormat="false" ht="15" hidden="false" customHeight="false" outlineLevel="0" collapsed="false">
      <c r="A506" s="11"/>
      <c r="B506" s="11"/>
      <c r="C506" s="11"/>
      <c r="D506" s="12"/>
      <c r="E506" s="13"/>
      <c r="F506" s="14" t="str">
        <f aca="false">IF(OR(AND($A506="",$B506="",$C506="",$D506="",$E506=""),$I506&lt;&gt;""),"",EDATE($D506,$E506))</f>
        <v/>
      </c>
      <c r="G506" s="6" t="str">
        <f aca="false">IF(AND($A506="",$B506="",$C506="",$D506="",$E506=""),"",IF($I506&lt;&gt;"","Check details",IF($F506&lt;AsOf,"Overdue",IF($F506=AsOf,"Due today",IF($F506&lt;=AsOf+30,"Due in next 30 days","Later")))))</f>
        <v/>
      </c>
      <c r="H506" s="15" t="str">
        <f aca="false">IF($F506="","",$F506-AsOf)</f>
        <v/>
      </c>
      <c r="I506" s="16" t="str">
        <f aca="false">IF(AND($A506="",$B506="",$C506="",$D506="",$E506=""),"",TRIM(IF($A506="","Name missing. ","")&amp;IF($B506="","Site missing. ","")&amp;IF($D506="","Last service missing. ",IF(NOT(ISNUMBER($D506)),"Last service isn't a date. ",IF(OR($D506&lt;18264,$D506&lt;&gt;INT($D506)),"Last service isn't a valid date. ",IF($D506&gt;AsOf,"Last service is after the as-of date. ",""))))&amp;IF($E506="","Interval missing.",IF(NOT(ISNUMBER($E506)),"Interval must be a number.",IF($E506&lt;&gt;INT($E506),"Interval must be whole months.",IF(OR($E506&lt;1,$E506&gt;240),"Interval must be 1-240 months.",""))))))</f>
        <v/>
      </c>
      <c r="J506" s="17" t="str">
        <f aca="false">IF(AND($A506="",$B506="",$C506="",$D506="",$E506=""),"",IF('Due List'!$B$4="Check details",IF($G506="Check details",ROW(),""),IF('Due List'!$B$4="All records",IF($G506="Check details",ROW()/100000,$F506+ROW()/100000),IF(OR($G506="Overdue",$G506="Due today",$G506="Due in next 30 days"),$F506+ROW()/100000,""))))</f>
        <v/>
      </c>
    </row>
    <row r="507" customFormat="false" ht="15" hidden="false" customHeight="false" outlineLevel="0" collapsed="false">
      <c r="A507" s="11"/>
      <c r="B507" s="11"/>
      <c r="C507" s="11"/>
      <c r="D507" s="12"/>
      <c r="E507" s="13"/>
      <c r="F507" s="14" t="str">
        <f aca="false">IF(OR(AND($A507="",$B507="",$C507="",$D507="",$E507=""),$I507&lt;&gt;""),"",EDATE($D507,$E507))</f>
        <v/>
      </c>
      <c r="G507" s="6" t="str">
        <f aca="false">IF(AND($A507="",$B507="",$C507="",$D507="",$E507=""),"",IF($I507&lt;&gt;"","Check details",IF($F507&lt;AsOf,"Overdue",IF($F507=AsOf,"Due today",IF($F507&lt;=AsOf+30,"Due in next 30 days","Later")))))</f>
        <v/>
      </c>
      <c r="H507" s="15" t="str">
        <f aca="false">IF($F507="","",$F507-AsOf)</f>
        <v/>
      </c>
      <c r="I507" s="16" t="str">
        <f aca="false">IF(AND($A507="",$B507="",$C507="",$D507="",$E507=""),"",TRIM(IF($A507="","Name missing. ","")&amp;IF($B507="","Site missing. ","")&amp;IF($D507="","Last service missing. ",IF(NOT(ISNUMBER($D507)),"Last service isn't a date. ",IF(OR($D507&lt;18264,$D507&lt;&gt;INT($D507)),"Last service isn't a valid date. ",IF($D507&gt;AsOf,"Last service is after the as-of date. ",""))))&amp;IF($E507="","Interval missing.",IF(NOT(ISNUMBER($E507)),"Interval must be a number.",IF($E507&lt;&gt;INT($E507),"Interval must be whole months.",IF(OR($E507&lt;1,$E507&gt;240),"Interval must be 1-240 months.",""))))))</f>
        <v/>
      </c>
      <c r="J507" s="17" t="str">
        <f aca="false">IF(AND($A507="",$B507="",$C507="",$D507="",$E507=""),"",IF('Due List'!$B$4="Check details",IF($G507="Check details",ROW(),""),IF('Due List'!$B$4="All records",IF($G507="Check details",ROW()/100000,$F507+ROW()/100000),IF(OR($G507="Overdue",$G507="Due today",$G507="Due in next 30 days"),$F507+ROW()/100000,""))))</f>
        <v/>
      </c>
    </row>
    <row r="508" customFormat="false" ht="15" hidden="false" customHeight="false" outlineLevel="0" collapsed="false">
      <c r="A508" s="11"/>
      <c r="B508" s="11"/>
      <c r="C508" s="11"/>
      <c r="D508" s="12"/>
      <c r="E508" s="13"/>
      <c r="F508" s="14" t="str">
        <f aca="false">IF(OR(AND($A508="",$B508="",$C508="",$D508="",$E508=""),$I508&lt;&gt;""),"",EDATE($D508,$E508))</f>
        <v/>
      </c>
      <c r="G508" s="6" t="str">
        <f aca="false">IF(AND($A508="",$B508="",$C508="",$D508="",$E508=""),"",IF($I508&lt;&gt;"","Check details",IF($F508&lt;AsOf,"Overdue",IF($F508=AsOf,"Due today",IF($F508&lt;=AsOf+30,"Due in next 30 days","Later")))))</f>
        <v/>
      </c>
      <c r="H508" s="15" t="str">
        <f aca="false">IF($F508="","",$F508-AsOf)</f>
        <v/>
      </c>
      <c r="I508" s="16" t="str">
        <f aca="false">IF(AND($A508="",$B508="",$C508="",$D508="",$E508=""),"",TRIM(IF($A508="","Name missing. ","")&amp;IF($B508="","Site missing. ","")&amp;IF($D508="","Last service missing. ",IF(NOT(ISNUMBER($D508)),"Last service isn't a date. ",IF(OR($D508&lt;18264,$D508&lt;&gt;INT($D508)),"Last service isn't a valid date. ",IF($D508&gt;AsOf,"Last service is after the as-of date. ",""))))&amp;IF($E508="","Interval missing.",IF(NOT(ISNUMBER($E508)),"Interval must be a number.",IF($E508&lt;&gt;INT($E508),"Interval must be whole months.",IF(OR($E508&lt;1,$E508&gt;240),"Interval must be 1-240 months.",""))))))</f>
        <v/>
      </c>
      <c r="J508" s="17" t="str">
        <f aca="false">IF(AND($A508="",$B508="",$C508="",$D508="",$E508=""),"",IF('Due List'!$B$4="Check details",IF($G508="Check details",ROW(),""),IF('Due List'!$B$4="All records",IF($G508="Check details",ROW()/100000,$F508+ROW()/100000),IF(OR($G508="Overdue",$G508="Due today",$G508="Due in next 30 days"),$F508+ROW()/100000,""))))</f>
        <v/>
      </c>
    </row>
    <row r="509" customFormat="false" ht="15" hidden="false" customHeight="false" outlineLevel="0" collapsed="false">
      <c r="A509" s="11"/>
      <c r="B509" s="11"/>
      <c r="C509" s="11"/>
      <c r="D509" s="12"/>
      <c r="E509" s="13"/>
      <c r="F509" s="14" t="str">
        <f aca="false">IF(OR(AND($A509="",$B509="",$C509="",$D509="",$E509=""),$I509&lt;&gt;""),"",EDATE($D509,$E509))</f>
        <v/>
      </c>
      <c r="G509" s="6" t="str">
        <f aca="false">IF(AND($A509="",$B509="",$C509="",$D509="",$E509=""),"",IF($I509&lt;&gt;"","Check details",IF($F509&lt;AsOf,"Overdue",IF($F509=AsOf,"Due today",IF($F509&lt;=AsOf+30,"Due in next 30 days","Later")))))</f>
        <v/>
      </c>
      <c r="H509" s="15" t="str">
        <f aca="false">IF($F509="","",$F509-AsOf)</f>
        <v/>
      </c>
      <c r="I509" s="16" t="str">
        <f aca="false">IF(AND($A509="",$B509="",$C509="",$D509="",$E509=""),"",TRIM(IF($A509="","Name missing. ","")&amp;IF($B509="","Site missing. ","")&amp;IF($D509="","Last service missing. ",IF(NOT(ISNUMBER($D509)),"Last service isn't a date. ",IF(OR($D509&lt;18264,$D509&lt;&gt;INT($D509)),"Last service isn't a valid date. ",IF($D509&gt;AsOf,"Last service is after the as-of date. ",""))))&amp;IF($E509="","Interval missing.",IF(NOT(ISNUMBER($E509)),"Interval must be a number.",IF($E509&lt;&gt;INT($E509),"Interval must be whole months.",IF(OR($E509&lt;1,$E509&gt;240),"Interval must be 1-240 months.",""))))))</f>
        <v/>
      </c>
      <c r="J509" s="17" t="str">
        <f aca="false">IF(AND($A509="",$B509="",$C509="",$D509="",$E509=""),"",IF('Due List'!$B$4="Check details",IF($G509="Check details",ROW(),""),IF('Due List'!$B$4="All records",IF($G509="Check details",ROW()/100000,$F509+ROW()/100000),IF(OR($G509="Overdue",$G509="Due today",$G509="Due in next 30 days"),$F509+ROW()/100000,""))))</f>
        <v/>
      </c>
    </row>
    <row r="510" customFormat="false" ht="15" hidden="false" customHeight="false" outlineLevel="0" collapsed="false">
      <c r="A510" s="11"/>
      <c r="B510" s="11"/>
      <c r="C510" s="11"/>
      <c r="D510" s="12"/>
      <c r="E510" s="13"/>
      <c r="F510" s="14" t="str">
        <f aca="false">IF(OR(AND($A510="",$B510="",$C510="",$D510="",$E510=""),$I510&lt;&gt;""),"",EDATE($D510,$E510))</f>
        <v/>
      </c>
      <c r="G510" s="6" t="str">
        <f aca="false">IF(AND($A510="",$B510="",$C510="",$D510="",$E510=""),"",IF($I510&lt;&gt;"","Check details",IF($F510&lt;AsOf,"Overdue",IF($F510=AsOf,"Due today",IF($F510&lt;=AsOf+30,"Due in next 30 days","Later")))))</f>
        <v/>
      </c>
      <c r="H510" s="15" t="str">
        <f aca="false">IF($F510="","",$F510-AsOf)</f>
        <v/>
      </c>
      <c r="I510" s="16" t="str">
        <f aca="false">IF(AND($A510="",$B510="",$C510="",$D510="",$E510=""),"",TRIM(IF($A510="","Name missing. ","")&amp;IF($B510="","Site missing. ","")&amp;IF($D510="","Last service missing. ",IF(NOT(ISNUMBER($D510)),"Last service isn't a date. ",IF(OR($D510&lt;18264,$D510&lt;&gt;INT($D510)),"Last service isn't a valid date. ",IF($D510&gt;AsOf,"Last service is after the as-of date. ",""))))&amp;IF($E510="","Interval missing.",IF(NOT(ISNUMBER($E510)),"Interval must be a number.",IF($E510&lt;&gt;INT($E510),"Interval must be whole months.",IF(OR($E510&lt;1,$E510&gt;240),"Interval must be 1-240 months.",""))))))</f>
        <v/>
      </c>
      <c r="J510" s="17" t="str">
        <f aca="false">IF(AND($A510="",$B510="",$C510="",$D510="",$E510=""),"",IF('Due List'!$B$4="Check details",IF($G510="Check details",ROW(),""),IF('Due List'!$B$4="All records",IF($G510="Check details",ROW()/100000,$F510+ROW()/100000),IF(OR($G510="Overdue",$G510="Due today",$G510="Due in next 30 days"),$F510+ROW()/100000,""))))</f>
        <v/>
      </c>
    </row>
  </sheetData>
  <mergeCells count="5">
    <mergeCell ref="A2:J2"/>
    <mergeCell ref="A3:J3"/>
    <mergeCell ref="A4:J4"/>
    <mergeCell ref="B7:J7"/>
    <mergeCell ref="B8:J8"/>
  </mergeCells>
  <conditionalFormatting sqref="G11:G510">
    <cfRule type="expression" priority="2" aboveAverage="0" equalAverage="0" bottom="0" percent="0" rank="0" text="" dxfId="6">
      <formula>$G11="Overdue"</formula>
    </cfRule>
    <cfRule type="expression" priority="3" aboveAverage="0" equalAverage="0" bottom="0" percent="0" rank="0" text="" dxfId="7">
      <formula>$G11="Due today"</formula>
    </cfRule>
    <cfRule type="expression" priority="4" aboveAverage="0" equalAverage="0" bottom="0" percent="0" rank="0" text="" dxfId="8">
      <formula>$G11="Due in next 30 days"</formula>
    </cfRule>
    <cfRule type="expression" priority="5" aboveAverage="0" equalAverage="0" bottom="0" percent="0" rank="0" text="" dxfId="9">
      <formula>$G11="Check details"</formula>
    </cfRule>
  </conditionalFormatting>
  <conditionalFormatting sqref="I11:I510">
    <cfRule type="expression" priority="6" aboveAverage="0" equalAverage="0" bottom="0" percent="0" rank="0" text="" dxfId="6">
      <formula>$I11&lt;&gt;""</formula>
    </cfRule>
  </conditionalFormatting>
  <conditionalFormatting sqref="B7">
    <cfRule type="expression" priority="7" aboveAverage="0" equalAverage="0" bottom="0" percent="0" rank="0" text="" dxfId="6">
      <formula>LEFT($B$7,1)="⚠"</formula>
    </cfRule>
  </conditionalFormatting>
  <dataValidations count="2">
    <dataValidation allowBlank="true" error="Enter the date the service was completed (not a future date)." errorStyle="stop" errorTitle="Last completed service" operator="between" showDropDown="false" showErrorMessage="true" showInputMessage="false" sqref="D11:D510" type="custom">
      <formula1>AND(ISNUMBER(D11),D11&gt;=18264,D11=INT(D11),D11&lt;=AsOf)</formula1>
      <formula2>0</formula2>
    </dataValidation>
    <dataValidation allowBlank="true" error="Enter your interval in whole months, 1 to 240." errorStyle="stop" errorTitle="Interval" operator="between" showDropDown="false" showErrorMessage="true" showInputMessage="false" sqref="E11:E510" type="custom">
      <formula1>AND(ISNUMBER(E11),E11=INT(E11),E11&gt;=1,E11&lt;=240)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50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28"/>
    <col collapsed="false" customWidth="true" hidden="false" outlineLevel="0" max="3" min="3" style="0" width="20"/>
    <col collapsed="false" customWidth="true" hidden="false" outlineLevel="0" max="4" min="4" style="0" width="13"/>
    <col collapsed="false" customWidth="true" hidden="false" outlineLevel="0" max="5" min="5" style="0" width="9"/>
    <col collapsed="false" customWidth="true" hidden="false" outlineLevel="0" max="6" min="6" style="0" width="13"/>
    <col collapsed="false" customWidth="true" hidden="false" outlineLevel="0" max="7" min="7" style="0" width="30"/>
    <col collapsed="false" customWidth="true" hidden="false" outlineLevel="0" max="8" min="8" style="0" width="9"/>
  </cols>
  <sheetData>
    <row r="1" customFormat="false" ht="19.7" hidden="false" customHeight="false" outlineLevel="0" collapsed="false">
      <c r="A1" s="18" t="s">
        <v>19</v>
      </c>
    </row>
    <row r="2" customFormat="false" ht="15" hidden="false" customHeight="false" outlineLevel="0" collapsed="false">
      <c r="A2" s="19" t="str">
        <f aca="false">"As of "&amp;TEXT(AsOf,"mmm d, yyyy")&amp;". "&amp;IF($B$4="Needs attention","Overdue, due today, or due by "&amp;TEXT(AsOf+30,"mmm d, yyyy")&amp;" (next 30 days), soonest first.",IF($B$4="All records","Every record: anything needing details first, then by due date.",IF($B$4="Check details","Records missing details; they have no due date.","Choose a list in B4.")))&amp;" "&amp;COUNT('Due List'!$H$7:$H$506)&amp;" record(s). Dates follow the interval set for each site."</f>
        <v>As of Oct 21, 2026. Overdue, due today, or due by Nov 20, 2026 (next 30 days), soonest first. 0 record(s). Dates follow the interval set for each site.</v>
      </c>
      <c r="B2" s="19"/>
      <c r="C2" s="19"/>
      <c r="D2" s="19"/>
      <c r="E2" s="19"/>
      <c r="F2" s="19"/>
      <c r="G2" s="19"/>
    </row>
    <row r="3" customFormat="false" ht="15" hidden="false" customHeight="false" outlineLevel="0" collapsed="false">
      <c r="A3" s="20" t="str">
        <f aca="false">IF(AND($B$4="Needs attention",COUNTIF(Register!$G$11:$G$510,"Check details")&gt;0),COUNTIF(Register!$G$11:$G$510,"Check details")&amp;" other record(s) need details checked and aren't on this list.","")</f>
        <v/>
      </c>
      <c r="B3" s="20"/>
      <c r="C3" s="20"/>
      <c r="D3" s="20"/>
      <c r="E3" s="20"/>
      <c r="F3" s="20"/>
      <c r="G3" s="20"/>
    </row>
    <row r="4" customFormat="false" ht="25.5" hidden="false" customHeight="true" outlineLevel="0" collapsed="false">
      <c r="A4" s="6" t="s">
        <v>20</v>
      </c>
      <c r="B4" s="21" t="s">
        <v>21</v>
      </c>
      <c r="C4" s="22" t="s">
        <v>22</v>
      </c>
      <c r="D4" s="22"/>
      <c r="E4" s="22"/>
      <c r="F4" s="22"/>
      <c r="G4" s="22"/>
    </row>
    <row r="6" customFormat="false" ht="15" hidden="false" customHeight="false" outlineLevel="0" collapsed="false">
      <c r="A6" s="23" t="s">
        <v>23</v>
      </c>
      <c r="B6" s="23" t="s">
        <v>10</v>
      </c>
      <c r="C6" s="23" t="s">
        <v>24</v>
      </c>
      <c r="D6" s="23" t="s">
        <v>25</v>
      </c>
      <c r="E6" s="23" t="s">
        <v>26</v>
      </c>
      <c r="F6" s="23" t="s">
        <v>27</v>
      </c>
      <c r="G6" s="23" t="s">
        <v>28</v>
      </c>
      <c r="H6" s="24" t="s">
        <v>29</v>
      </c>
    </row>
    <row r="7" customFormat="false" ht="15" hidden="false" customHeight="false" outlineLevel="0" collapsed="false">
      <c r="A7" s="25" t="str">
        <f aca="false">IF($H7="","",INDEX(Register!$A$11:$A$510,MATCH($H7,Register!$J$11:$J$510,0))&amp;"")</f>
        <v/>
      </c>
      <c r="B7" s="25" t="str">
        <f aca="false">IF($H7="","",INDEX(Register!$B$11:$B$510,MATCH($H7,Register!$J$11:$J$510,0))&amp;"")</f>
        <v/>
      </c>
      <c r="C7" s="25" t="str">
        <f aca="false">IF($H7="","",INDEX(Register!$C$11:$C$510,MATCH($H7,Register!$J$11:$J$510,0))&amp;"")</f>
        <v/>
      </c>
      <c r="D7" s="26" t="str">
        <f aca="false">IF($H7="","",IF(ISNUMBER(INDEX(Register!$D$11:$D$510,MATCH($H7,Register!$J$11:$J$510,0))),INDEX(Register!$D$11:$D$510,MATCH($H7,Register!$J$11:$J$510,0)),INDEX(Register!$D$11:$D$510,MATCH($H7,Register!$J$11:$J$510,0))&amp;""))</f>
        <v/>
      </c>
      <c r="E7" s="25" t="str">
        <f aca="false">IF($H7="","",IF(ISNUMBER(INDEX(Register!$E$11:$E$510,MATCH($H7,Register!$J$11:$J$510,0))),INDEX(Register!$E$11:$E$510,MATCH($H7,Register!$J$11:$J$510,0))&amp;" mo",INDEX(Register!$E$11:$E$510,MATCH($H7,Register!$J$11:$J$510,0))&amp;""))</f>
        <v/>
      </c>
      <c r="F7" s="26" t="str">
        <f aca="false">IF($H7="","",INDEX(Register!$F$11:$F$510,MATCH($H7,Register!$J$11:$J$510,0)))</f>
        <v/>
      </c>
      <c r="G7" s="27" t="str">
        <f aca="false">IF($H7="","",IF(INDEX(Register!$G$11:$G$510,MATCH($H7,Register!$J$11:$J$510,0))="Check details","Check details: "&amp;INDEX(Register!$I$11:$I$510,MATCH($H7,Register!$J$11:$J$510,0)),INDEX(Register!$G$11:$G$510,MATCH($H7,Register!$J$11:$J$510,0))))</f>
        <v/>
      </c>
      <c r="H7" s="28" t="str">
        <f aca="false">IF(1&gt;COUNT(Register!$J$11:$J$510),"",SMALL(Register!$J$11:$J$510,1))</f>
        <v/>
      </c>
    </row>
    <row r="8" customFormat="false" ht="15" hidden="false" customHeight="false" outlineLevel="0" collapsed="false">
      <c r="A8" s="25" t="str">
        <f aca="false">IF($H8="","",INDEX(Register!$A$11:$A$510,MATCH($H8,Register!$J$11:$J$510,0))&amp;"")</f>
        <v/>
      </c>
      <c r="B8" s="25" t="str">
        <f aca="false">IF($H8="","",INDEX(Register!$B$11:$B$510,MATCH($H8,Register!$J$11:$J$510,0))&amp;"")</f>
        <v/>
      </c>
      <c r="C8" s="25" t="str">
        <f aca="false">IF($H8="","",INDEX(Register!$C$11:$C$510,MATCH($H8,Register!$J$11:$J$510,0))&amp;"")</f>
        <v/>
      </c>
      <c r="D8" s="26" t="str">
        <f aca="false">IF($H8="","",IF(ISNUMBER(INDEX(Register!$D$11:$D$510,MATCH($H8,Register!$J$11:$J$510,0))),INDEX(Register!$D$11:$D$510,MATCH($H8,Register!$J$11:$J$510,0)),INDEX(Register!$D$11:$D$510,MATCH($H8,Register!$J$11:$J$510,0))&amp;""))</f>
        <v/>
      </c>
      <c r="E8" s="25" t="str">
        <f aca="false">IF($H8="","",IF(ISNUMBER(INDEX(Register!$E$11:$E$510,MATCH($H8,Register!$J$11:$J$510,0))),INDEX(Register!$E$11:$E$510,MATCH($H8,Register!$J$11:$J$510,0))&amp;" mo",INDEX(Register!$E$11:$E$510,MATCH($H8,Register!$J$11:$J$510,0))&amp;""))</f>
        <v/>
      </c>
      <c r="F8" s="26" t="str">
        <f aca="false">IF($H8="","",INDEX(Register!$F$11:$F$510,MATCH($H8,Register!$J$11:$J$510,0)))</f>
        <v/>
      </c>
      <c r="G8" s="27" t="str">
        <f aca="false">IF($H8="","",IF(INDEX(Register!$G$11:$G$510,MATCH($H8,Register!$J$11:$J$510,0))="Check details","Check details: "&amp;INDEX(Register!$I$11:$I$510,MATCH($H8,Register!$J$11:$J$510,0)),INDEX(Register!$G$11:$G$510,MATCH($H8,Register!$J$11:$J$510,0))))</f>
        <v/>
      </c>
      <c r="H8" s="28" t="str">
        <f aca="false">IF(2&gt;COUNT(Register!$J$11:$J$510),"",SMALL(Register!$J$11:$J$510,2))</f>
        <v/>
      </c>
    </row>
    <row r="9" customFormat="false" ht="15" hidden="false" customHeight="false" outlineLevel="0" collapsed="false">
      <c r="A9" s="25" t="str">
        <f aca="false">IF($H9="","",INDEX(Register!$A$11:$A$510,MATCH($H9,Register!$J$11:$J$510,0))&amp;"")</f>
        <v/>
      </c>
      <c r="B9" s="25" t="str">
        <f aca="false">IF($H9="","",INDEX(Register!$B$11:$B$510,MATCH($H9,Register!$J$11:$J$510,0))&amp;"")</f>
        <v/>
      </c>
      <c r="C9" s="25" t="str">
        <f aca="false">IF($H9="","",INDEX(Register!$C$11:$C$510,MATCH($H9,Register!$J$11:$J$510,0))&amp;"")</f>
        <v/>
      </c>
      <c r="D9" s="26" t="str">
        <f aca="false">IF($H9="","",IF(ISNUMBER(INDEX(Register!$D$11:$D$510,MATCH($H9,Register!$J$11:$J$510,0))),INDEX(Register!$D$11:$D$510,MATCH($H9,Register!$J$11:$J$510,0)),INDEX(Register!$D$11:$D$510,MATCH($H9,Register!$J$11:$J$510,0))&amp;""))</f>
        <v/>
      </c>
      <c r="E9" s="25" t="str">
        <f aca="false">IF($H9="","",IF(ISNUMBER(INDEX(Register!$E$11:$E$510,MATCH($H9,Register!$J$11:$J$510,0))),INDEX(Register!$E$11:$E$510,MATCH($H9,Register!$J$11:$J$510,0))&amp;" mo",INDEX(Register!$E$11:$E$510,MATCH($H9,Register!$J$11:$J$510,0))&amp;""))</f>
        <v/>
      </c>
      <c r="F9" s="26" t="str">
        <f aca="false">IF($H9="","",INDEX(Register!$F$11:$F$510,MATCH($H9,Register!$J$11:$J$510,0)))</f>
        <v/>
      </c>
      <c r="G9" s="27" t="str">
        <f aca="false">IF($H9="","",IF(INDEX(Register!$G$11:$G$510,MATCH($H9,Register!$J$11:$J$510,0))="Check details","Check details: "&amp;INDEX(Register!$I$11:$I$510,MATCH($H9,Register!$J$11:$J$510,0)),INDEX(Register!$G$11:$G$510,MATCH($H9,Register!$J$11:$J$510,0))))</f>
        <v/>
      </c>
      <c r="H9" s="28" t="str">
        <f aca="false">IF(3&gt;COUNT(Register!$J$11:$J$510),"",SMALL(Register!$J$11:$J$510,3))</f>
        <v/>
      </c>
    </row>
    <row r="10" customFormat="false" ht="15" hidden="false" customHeight="false" outlineLevel="0" collapsed="false">
      <c r="A10" s="25" t="str">
        <f aca="false">IF($H10="","",INDEX(Register!$A$11:$A$510,MATCH($H10,Register!$J$11:$J$510,0))&amp;"")</f>
        <v/>
      </c>
      <c r="B10" s="25" t="str">
        <f aca="false">IF($H10="","",INDEX(Register!$B$11:$B$510,MATCH($H10,Register!$J$11:$J$510,0))&amp;"")</f>
        <v/>
      </c>
      <c r="C10" s="25" t="str">
        <f aca="false">IF($H10="","",INDEX(Register!$C$11:$C$510,MATCH($H10,Register!$J$11:$J$510,0))&amp;"")</f>
        <v/>
      </c>
      <c r="D10" s="26" t="str">
        <f aca="false">IF($H10="","",IF(ISNUMBER(INDEX(Register!$D$11:$D$510,MATCH($H10,Register!$J$11:$J$510,0))),INDEX(Register!$D$11:$D$510,MATCH($H10,Register!$J$11:$J$510,0)),INDEX(Register!$D$11:$D$510,MATCH($H10,Register!$J$11:$J$510,0))&amp;""))</f>
        <v/>
      </c>
      <c r="E10" s="25" t="str">
        <f aca="false">IF($H10="","",IF(ISNUMBER(INDEX(Register!$E$11:$E$510,MATCH($H10,Register!$J$11:$J$510,0))),INDEX(Register!$E$11:$E$510,MATCH($H10,Register!$J$11:$J$510,0))&amp;" mo",INDEX(Register!$E$11:$E$510,MATCH($H10,Register!$J$11:$J$510,0))&amp;""))</f>
        <v/>
      </c>
      <c r="F10" s="26" t="str">
        <f aca="false">IF($H10="","",INDEX(Register!$F$11:$F$510,MATCH($H10,Register!$J$11:$J$510,0)))</f>
        <v/>
      </c>
      <c r="G10" s="27" t="str">
        <f aca="false">IF($H10="","",IF(INDEX(Register!$G$11:$G$510,MATCH($H10,Register!$J$11:$J$510,0))="Check details","Check details: "&amp;INDEX(Register!$I$11:$I$510,MATCH($H10,Register!$J$11:$J$510,0)),INDEX(Register!$G$11:$G$510,MATCH($H10,Register!$J$11:$J$510,0))))</f>
        <v/>
      </c>
      <c r="H10" s="28" t="str">
        <f aca="false">IF(4&gt;COUNT(Register!$J$11:$J$510),"",SMALL(Register!$J$11:$J$510,4))</f>
        <v/>
      </c>
    </row>
    <row r="11" customFormat="false" ht="15" hidden="false" customHeight="false" outlineLevel="0" collapsed="false">
      <c r="A11" s="25" t="str">
        <f aca="false">IF($H11="","",INDEX(Register!$A$11:$A$510,MATCH($H11,Register!$J$11:$J$510,0))&amp;"")</f>
        <v/>
      </c>
      <c r="B11" s="25" t="str">
        <f aca="false">IF($H11="","",INDEX(Register!$B$11:$B$510,MATCH($H11,Register!$J$11:$J$510,0))&amp;"")</f>
        <v/>
      </c>
      <c r="C11" s="25" t="str">
        <f aca="false">IF($H11="","",INDEX(Register!$C$11:$C$510,MATCH($H11,Register!$J$11:$J$510,0))&amp;"")</f>
        <v/>
      </c>
      <c r="D11" s="26" t="str">
        <f aca="false">IF($H11="","",IF(ISNUMBER(INDEX(Register!$D$11:$D$510,MATCH($H11,Register!$J$11:$J$510,0))),INDEX(Register!$D$11:$D$510,MATCH($H11,Register!$J$11:$J$510,0)),INDEX(Register!$D$11:$D$510,MATCH($H11,Register!$J$11:$J$510,0))&amp;""))</f>
        <v/>
      </c>
      <c r="E11" s="25" t="str">
        <f aca="false">IF($H11="","",IF(ISNUMBER(INDEX(Register!$E$11:$E$510,MATCH($H11,Register!$J$11:$J$510,0))),INDEX(Register!$E$11:$E$510,MATCH($H11,Register!$J$11:$J$510,0))&amp;" mo",INDEX(Register!$E$11:$E$510,MATCH($H11,Register!$J$11:$J$510,0))&amp;""))</f>
        <v/>
      </c>
      <c r="F11" s="26" t="str">
        <f aca="false">IF($H11="","",INDEX(Register!$F$11:$F$510,MATCH($H11,Register!$J$11:$J$510,0)))</f>
        <v/>
      </c>
      <c r="G11" s="27" t="str">
        <f aca="false">IF($H11="","",IF(INDEX(Register!$G$11:$G$510,MATCH($H11,Register!$J$11:$J$510,0))="Check details","Check details: "&amp;INDEX(Register!$I$11:$I$510,MATCH($H11,Register!$J$11:$J$510,0)),INDEX(Register!$G$11:$G$510,MATCH($H11,Register!$J$11:$J$510,0))))</f>
        <v/>
      </c>
      <c r="H11" s="28" t="str">
        <f aca="false">IF(5&gt;COUNT(Register!$J$11:$J$510),"",SMALL(Register!$J$11:$J$510,5))</f>
        <v/>
      </c>
    </row>
    <row r="12" customFormat="false" ht="15" hidden="false" customHeight="false" outlineLevel="0" collapsed="false">
      <c r="A12" s="25" t="str">
        <f aca="false">IF($H12="","",INDEX(Register!$A$11:$A$510,MATCH($H12,Register!$J$11:$J$510,0))&amp;"")</f>
        <v/>
      </c>
      <c r="B12" s="25" t="str">
        <f aca="false">IF($H12="","",INDEX(Register!$B$11:$B$510,MATCH($H12,Register!$J$11:$J$510,0))&amp;"")</f>
        <v/>
      </c>
      <c r="C12" s="25" t="str">
        <f aca="false">IF($H12="","",INDEX(Register!$C$11:$C$510,MATCH($H12,Register!$J$11:$J$510,0))&amp;"")</f>
        <v/>
      </c>
      <c r="D12" s="26" t="str">
        <f aca="false">IF($H12="","",IF(ISNUMBER(INDEX(Register!$D$11:$D$510,MATCH($H12,Register!$J$11:$J$510,0))),INDEX(Register!$D$11:$D$510,MATCH($H12,Register!$J$11:$J$510,0)),INDEX(Register!$D$11:$D$510,MATCH($H12,Register!$J$11:$J$510,0))&amp;""))</f>
        <v/>
      </c>
      <c r="E12" s="25" t="str">
        <f aca="false">IF($H12="","",IF(ISNUMBER(INDEX(Register!$E$11:$E$510,MATCH($H12,Register!$J$11:$J$510,0))),INDEX(Register!$E$11:$E$510,MATCH($H12,Register!$J$11:$J$510,0))&amp;" mo",INDEX(Register!$E$11:$E$510,MATCH($H12,Register!$J$11:$J$510,0))&amp;""))</f>
        <v/>
      </c>
      <c r="F12" s="26" t="str">
        <f aca="false">IF($H12="","",INDEX(Register!$F$11:$F$510,MATCH($H12,Register!$J$11:$J$510,0)))</f>
        <v/>
      </c>
      <c r="G12" s="27" t="str">
        <f aca="false">IF($H12="","",IF(INDEX(Register!$G$11:$G$510,MATCH($H12,Register!$J$11:$J$510,0))="Check details","Check details: "&amp;INDEX(Register!$I$11:$I$510,MATCH($H12,Register!$J$11:$J$510,0)),INDEX(Register!$G$11:$G$510,MATCH($H12,Register!$J$11:$J$510,0))))</f>
        <v/>
      </c>
      <c r="H12" s="28" t="str">
        <f aca="false">IF(6&gt;COUNT(Register!$J$11:$J$510),"",SMALL(Register!$J$11:$J$510,6))</f>
        <v/>
      </c>
    </row>
    <row r="13" customFormat="false" ht="15" hidden="false" customHeight="false" outlineLevel="0" collapsed="false">
      <c r="A13" s="25" t="str">
        <f aca="false">IF($H13="","",INDEX(Register!$A$11:$A$510,MATCH($H13,Register!$J$11:$J$510,0))&amp;"")</f>
        <v/>
      </c>
      <c r="B13" s="25" t="str">
        <f aca="false">IF($H13="","",INDEX(Register!$B$11:$B$510,MATCH($H13,Register!$J$11:$J$510,0))&amp;"")</f>
        <v/>
      </c>
      <c r="C13" s="25" t="str">
        <f aca="false">IF($H13="","",INDEX(Register!$C$11:$C$510,MATCH($H13,Register!$J$11:$J$510,0))&amp;"")</f>
        <v/>
      </c>
      <c r="D13" s="26" t="str">
        <f aca="false">IF($H13="","",IF(ISNUMBER(INDEX(Register!$D$11:$D$510,MATCH($H13,Register!$J$11:$J$510,0))),INDEX(Register!$D$11:$D$510,MATCH($H13,Register!$J$11:$J$510,0)),INDEX(Register!$D$11:$D$510,MATCH($H13,Register!$J$11:$J$510,0))&amp;""))</f>
        <v/>
      </c>
      <c r="E13" s="25" t="str">
        <f aca="false">IF($H13="","",IF(ISNUMBER(INDEX(Register!$E$11:$E$510,MATCH($H13,Register!$J$11:$J$510,0))),INDEX(Register!$E$11:$E$510,MATCH($H13,Register!$J$11:$J$510,0))&amp;" mo",INDEX(Register!$E$11:$E$510,MATCH($H13,Register!$J$11:$J$510,0))&amp;""))</f>
        <v/>
      </c>
      <c r="F13" s="26" t="str">
        <f aca="false">IF($H13="","",INDEX(Register!$F$11:$F$510,MATCH($H13,Register!$J$11:$J$510,0)))</f>
        <v/>
      </c>
      <c r="G13" s="27" t="str">
        <f aca="false">IF($H13="","",IF(INDEX(Register!$G$11:$G$510,MATCH($H13,Register!$J$11:$J$510,0))="Check details","Check details: "&amp;INDEX(Register!$I$11:$I$510,MATCH($H13,Register!$J$11:$J$510,0)),INDEX(Register!$G$11:$G$510,MATCH($H13,Register!$J$11:$J$510,0))))</f>
        <v/>
      </c>
      <c r="H13" s="28" t="str">
        <f aca="false">IF(7&gt;COUNT(Register!$J$11:$J$510),"",SMALL(Register!$J$11:$J$510,7))</f>
        <v/>
      </c>
    </row>
    <row r="14" customFormat="false" ht="15" hidden="false" customHeight="false" outlineLevel="0" collapsed="false">
      <c r="A14" s="25" t="str">
        <f aca="false">IF($H14="","",INDEX(Register!$A$11:$A$510,MATCH($H14,Register!$J$11:$J$510,0))&amp;"")</f>
        <v/>
      </c>
      <c r="B14" s="25" t="str">
        <f aca="false">IF($H14="","",INDEX(Register!$B$11:$B$510,MATCH($H14,Register!$J$11:$J$510,0))&amp;"")</f>
        <v/>
      </c>
      <c r="C14" s="25" t="str">
        <f aca="false">IF($H14="","",INDEX(Register!$C$11:$C$510,MATCH($H14,Register!$J$11:$J$510,0))&amp;"")</f>
        <v/>
      </c>
      <c r="D14" s="26" t="str">
        <f aca="false">IF($H14="","",IF(ISNUMBER(INDEX(Register!$D$11:$D$510,MATCH($H14,Register!$J$11:$J$510,0))),INDEX(Register!$D$11:$D$510,MATCH($H14,Register!$J$11:$J$510,0)),INDEX(Register!$D$11:$D$510,MATCH($H14,Register!$J$11:$J$510,0))&amp;""))</f>
        <v/>
      </c>
      <c r="E14" s="25" t="str">
        <f aca="false">IF($H14="","",IF(ISNUMBER(INDEX(Register!$E$11:$E$510,MATCH($H14,Register!$J$11:$J$510,0))),INDEX(Register!$E$11:$E$510,MATCH($H14,Register!$J$11:$J$510,0))&amp;" mo",INDEX(Register!$E$11:$E$510,MATCH($H14,Register!$J$11:$J$510,0))&amp;""))</f>
        <v/>
      </c>
      <c r="F14" s="26" t="str">
        <f aca="false">IF($H14="","",INDEX(Register!$F$11:$F$510,MATCH($H14,Register!$J$11:$J$510,0)))</f>
        <v/>
      </c>
      <c r="G14" s="27" t="str">
        <f aca="false">IF($H14="","",IF(INDEX(Register!$G$11:$G$510,MATCH($H14,Register!$J$11:$J$510,0))="Check details","Check details: "&amp;INDEX(Register!$I$11:$I$510,MATCH($H14,Register!$J$11:$J$510,0)),INDEX(Register!$G$11:$G$510,MATCH($H14,Register!$J$11:$J$510,0))))</f>
        <v/>
      </c>
      <c r="H14" s="28" t="str">
        <f aca="false">IF(8&gt;COUNT(Register!$J$11:$J$510),"",SMALL(Register!$J$11:$J$510,8))</f>
        <v/>
      </c>
    </row>
    <row r="15" customFormat="false" ht="15" hidden="false" customHeight="false" outlineLevel="0" collapsed="false">
      <c r="A15" s="25" t="str">
        <f aca="false">IF($H15="","",INDEX(Register!$A$11:$A$510,MATCH($H15,Register!$J$11:$J$510,0))&amp;"")</f>
        <v/>
      </c>
      <c r="B15" s="25" t="str">
        <f aca="false">IF($H15="","",INDEX(Register!$B$11:$B$510,MATCH($H15,Register!$J$11:$J$510,0))&amp;"")</f>
        <v/>
      </c>
      <c r="C15" s="25" t="str">
        <f aca="false">IF($H15="","",INDEX(Register!$C$11:$C$510,MATCH($H15,Register!$J$11:$J$510,0))&amp;"")</f>
        <v/>
      </c>
      <c r="D15" s="26" t="str">
        <f aca="false">IF($H15="","",IF(ISNUMBER(INDEX(Register!$D$11:$D$510,MATCH($H15,Register!$J$11:$J$510,0))),INDEX(Register!$D$11:$D$510,MATCH($H15,Register!$J$11:$J$510,0)),INDEX(Register!$D$11:$D$510,MATCH($H15,Register!$J$11:$J$510,0))&amp;""))</f>
        <v/>
      </c>
      <c r="E15" s="25" t="str">
        <f aca="false">IF($H15="","",IF(ISNUMBER(INDEX(Register!$E$11:$E$510,MATCH($H15,Register!$J$11:$J$510,0))),INDEX(Register!$E$11:$E$510,MATCH($H15,Register!$J$11:$J$510,0))&amp;" mo",INDEX(Register!$E$11:$E$510,MATCH($H15,Register!$J$11:$J$510,0))&amp;""))</f>
        <v/>
      </c>
      <c r="F15" s="26" t="str">
        <f aca="false">IF($H15="","",INDEX(Register!$F$11:$F$510,MATCH($H15,Register!$J$11:$J$510,0)))</f>
        <v/>
      </c>
      <c r="G15" s="27" t="str">
        <f aca="false">IF($H15="","",IF(INDEX(Register!$G$11:$G$510,MATCH($H15,Register!$J$11:$J$510,0))="Check details","Check details: "&amp;INDEX(Register!$I$11:$I$510,MATCH($H15,Register!$J$11:$J$510,0)),INDEX(Register!$G$11:$G$510,MATCH($H15,Register!$J$11:$J$510,0))))</f>
        <v/>
      </c>
      <c r="H15" s="28" t="str">
        <f aca="false">IF(9&gt;COUNT(Register!$J$11:$J$510),"",SMALL(Register!$J$11:$J$510,9))</f>
        <v/>
      </c>
    </row>
    <row r="16" customFormat="false" ht="15" hidden="false" customHeight="false" outlineLevel="0" collapsed="false">
      <c r="A16" s="25" t="str">
        <f aca="false">IF($H16="","",INDEX(Register!$A$11:$A$510,MATCH($H16,Register!$J$11:$J$510,0))&amp;"")</f>
        <v/>
      </c>
      <c r="B16" s="25" t="str">
        <f aca="false">IF($H16="","",INDEX(Register!$B$11:$B$510,MATCH($H16,Register!$J$11:$J$510,0))&amp;"")</f>
        <v/>
      </c>
      <c r="C16" s="25" t="str">
        <f aca="false">IF($H16="","",INDEX(Register!$C$11:$C$510,MATCH($H16,Register!$J$11:$J$510,0))&amp;"")</f>
        <v/>
      </c>
      <c r="D16" s="26" t="str">
        <f aca="false">IF($H16="","",IF(ISNUMBER(INDEX(Register!$D$11:$D$510,MATCH($H16,Register!$J$11:$J$510,0))),INDEX(Register!$D$11:$D$510,MATCH($H16,Register!$J$11:$J$510,0)),INDEX(Register!$D$11:$D$510,MATCH($H16,Register!$J$11:$J$510,0))&amp;""))</f>
        <v/>
      </c>
      <c r="E16" s="25" t="str">
        <f aca="false">IF($H16="","",IF(ISNUMBER(INDEX(Register!$E$11:$E$510,MATCH($H16,Register!$J$11:$J$510,0))),INDEX(Register!$E$11:$E$510,MATCH($H16,Register!$J$11:$J$510,0))&amp;" mo",INDEX(Register!$E$11:$E$510,MATCH($H16,Register!$J$11:$J$510,0))&amp;""))</f>
        <v/>
      </c>
      <c r="F16" s="26" t="str">
        <f aca="false">IF($H16="","",INDEX(Register!$F$11:$F$510,MATCH($H16,Register!$J$11:$J$510,0)))</f>
        <v/>
      </c>
      <c r="G16" s="27" t="str">
        <f aca="false">IF($H16="","",IF(INDEX(Register!$G$11:$G$510,MATCH($H16,Register!$J$11:$J$510,0))="Check details","Check details: "&amp;INDEX(Register!$I$11:$I$510,MATCH($H16,Register!$J$11:$J$510,0)),INDEX(Register!$G$11:$G$510,MATCH($H16,Register!$J$11:$J$510,0))))</f>
        <v/>
      </c>
      <c r="H16" s="28" t="str">
        <f aca="false">IF(10&gt;COUNT(Register!$J$11:$J$510),"",SMALL(Register!$J$11:$J$510,10))</f>
        <v/>
      </c>
    </row>
    <row r="17" customFormat="false" ht="15" hidden="false" customHeight="false" outlineLevel="0" collapsed="false">
      <c r="A17" s="25" t="str">
        <f aca="false">IF($H17="","",INDEX(Register!$A$11:$A$510,MATCH($H17,Register!$J$11:$J$510,0))&amp;"")</f>
        <v/>
      </c>
      <c r="B17" s="25" t="str">
        <f aca="false">IF($H17="","",INDEX(Register!$B$11:$B$510,MATCH($H17,Register!$J$11:$J$510,0))&amp;"")</f>
        <v/>
      </c>
      <c r="C17" s="25" t="str">
        <f aca="false">IF($H17="","",INDEX(Register!$C$11:$C$510,MATCH($H17,Register!$J$11:$J$510,0))&amp;"")</f>
        <v/>
      </c>
      <c r="D17" s="26" t="str">
        <f aca="false">IF($H17="","",IF(ISNUMBER(INDEX(Register!$D$11:$D$510,MATCH($H17,Register!$J$11:$J$510,0))),INDEX(Register!$D$11:$D$510,MATCH($H17,Register!$J$11:$J$510,0)),INDEX(Register!$D$11:$D$510,MATCH($H17,Register!$J$11:$J$510,0))&amp;""))</f>
        <v/>
      </c>
      <c r="E17" s="25" t="str">
        <f aca="false">IF($H17="","",IF(ISNUMBER(INDEX(Register!$E$11:$E$510,MATCH($H17,Register!$J$11:$J$510,0))),INDEX(Register!$E$11:$E$510,MATCH($H17,Register!$J$11:$J$510,0))&amp;" mo",INDEX(Register!$E$11:$E$510,MATCH($H17,Register!$J$11:$J$510,0))&amp;""))</f>
        <v/>
      </c>
      <c r="F17" s="26" t="str">
        <f aca="false">IF($H17="","",INDEX(Register!$F$11:$F$510,MATCH($H17,Register!$J$11:$J$510,0)))</f>
        <v/>
      </c>
      <c r="G17" s="27" t="str">
        <f aca="false">IF($H17="","",IF(INDEX(Register!$G$11:$G$510,MATCH($H17,Register!$J$11:$J$510,0))="Check details","Check details: "&amp;INDEX(Register!$I$11:$I$510,MATCH($H17,Register!$J$11:$J$510,0)),INDEX(Register!$G$11:$G$510,MATCH($H17,Register!$J$11:$J$510,0))))</f>
        <v/>
      </c>
      <c r="H17" s="28" t="str">
        <f aca="false">IF(11&gt;COUNT(Register!$J$11:$J$510),"",SMALL(Register!$J$11:$J$510,11))</f>
        <v/>
      </c>
    </row>
    <row r="18" customFormat="false" ht="15" hidden="false" customHeight="false" outlineLevel="0" collapsed="false">
      <c r="A18" s="25" t="str">
        <f aca="false">IF($H18="","",INDEX(Register!$A$11:$A$510,MATCH($H18,Register!$J$11:$J$510,0))&amp;"")</f>
        <v/>
      </c>
      <c r="B18" s="25" t="str">
        <f aca="false">IF($H18="","",INDEX(Register!$B$11:$B$510,MATCH($H18,Register!$J$11:$J$510,0))&amp;"")</f>
        <v/>
      </c>
      <c r="C18" s="25" t="str">
        <f aca="false">IF($H18="","",INDEX(Register!$C$11:$C$510,MATCH($H18,Register!$J$11:$J$510,0))&amp;"")</f>
        <v/>
      </c>
      <c r="D18" s="26" t="str">
        <f aca="false">IF($H18="","",IF(ISNUMBER(INDEX(Register!$D$11:$D$510,MATCH($H18,Register!$J$11:$J$510,0))),INDEX(Register!$D$11:$D$510,MATCH($H18,Register!$J$11:$J$510,0)),INDEX(Register!$D$11:$D$510,MATCH($H18,Register!$J$11:$J$510,0))&amp;""))</f>
        <v/>
      </c>
      <c r="E18" s="25" t="str">
        <f aca="false">IF($H18="","",IF(ISNUMBER(INDEX(Register!$E$11:$E$510,MATCH($H18,Register!$J$11:$J$510,0))),INDEX(Register!$E$11:$E$510,MATCH($H18,Register!$J$11:$J$510,0))&amp;" mo",INDEX(Register!$E$11:$E$510,MATCH($H18,Register!$J$11:$J$510,0))&amp;""))</f>
        <v/>
      </c>
      <c r="F18" s="26" t="str">
        <f aca="false">IF($H18="","",INDEX(Register!$F$11:$F$510,MATCH($H18,Register!$J$11:$J$510,0)))</f>
        <v/>
      </c>
      <c r="G18" s="27" t="str">
        <f aca="false">IF($H18="","",IF(INDEX(Register!$G$11:$G$510,MATCH($H18,Register!$J$11:$J$510,0))="Check details","Check details: "&amp;INDEX(Register!$I$11:$I$510,MATCH($H18,Register!$J$11:$J$510,0)),INDEX(Register!$G$11:$G$510,MATCH($H18,Register!$J$11:$J$510,0))))</f>
        <v/>
      </c>
      <c r="H18" s="28" t="str">
        <f aca="false">IF(12&gt;COUNT(Register!$J$11:$J$510),"",SMALL(Register!$J$11:$J$510,12))</f>
        <v/>
      </c>
    </row>
    <row r="19" customFormat="false" ht="15" hidden="false" customHeight="false" outlineLevel="0" collapsed="false">
      <c r="A19" s="25" t="str">
        <f aca="false">IF($H19="","",INDEX(Register!$A$11:$A$510,MATCH($H19,Register!$J$11:$J$510,0))&amp;"")</f>
        <v/>
      </c>
      <c r="B19" s="25" t="str">
        <f aca="false">IF($H19="","",INDEX(Register!$B$11:$B$510,MATCH($H19,Register!$J$11:$J$510,0))&amp;"")</f>
        <v/>
      </c>
      <c r="C19" s="25" t="str">
        <f aca="false">IF($H19="","",INDEX(Register!$C$11:$C$510,MATCH($H19,Register!$J$11:$J$510,0))&amp;"")</f>
        <v/>
      </c>
      <c r="D19" s="26" t="str">
        <f aca="false">IF($H19="","",IF(ISNUMBER(INDEX(Register!$D$11:$D$510,MATCH($H19,Register!$J$11:$J$510,0))),INDEX(Register!$D$11:$D$510,MATCH($H19,Register!$J$11:$J$510,0)),INDEX(Register!$D$11:$D$510,MATCH($H19,Register!$J$11:$J$510,0))&amp;""))</f>
        <v/>
      </c>
      <c r="E19" s="25" t="str">
        <f aca="false">IF($H19="","",IF(ISNUMBER(INDEX(Register!$E$11:$E$510,MATCH($H19,Register!$J$11:$J$510,0))),INDEX(Register!$E$11:$E$510,MATCH($H19,Register!$J$11:$J$510,0))&amp;" mo",INDEX(Register!$E$11:$E$510,MATCH($H19,Register!$J$11:$J$510,0))&amp;""))</f>
        <v/>
      </c>
      <c r="F19" s="26" t="str">
        <f aca="false">IF($H19="","",INDEX(Register!$F$11:$F$510,MATCH($H19,Register!$J$11:$J$510,0)))</f>
        <v/>
      </c>
      <c r="G19" s="27" t="str">
        <f aca="false">IF($H19="","",IF(INDEX(Register!$G$11:$G$510,MATCH($H19,Register!$J$11:$J$510,0))="Check details","Check details: "&amp;INDEX(Register!$I$11:$I$510,MATCH($H19,Register!$J$11:$J$510,0)),INDEX(Register!$G$11:$G$510,MATCH($H19,Register!$J$11:$J$510,0))))</f>
        <v/>
      </c>
      <c r="H19" s="28" t="str">
        <f aca="false">IF(13&gt;COUNT(Register!$J$11:$J$510),"",SMALL(Register!$J$11:$J$510,13))</f>
        <v/>
      </c>
    </row>
    <row r="20" customFormat="false" ht="15" hidden="false" customHeight="false" outlineLevel="0" collapsed="false">
      <c r="A20" s="25" t="str">
        <f aca="false">IF($H20="","",INDEX(Register!$A$11:$A$510,MATCH($H20,Register!$J$11:$J$510,0))&amp;"")</f>
        <v/>
      </c>
      <c r="B20" s="25" t="str">
        <f aca="false">IF($H20="","",INDEX(Register!$B$11:$B$510,MATCH($H20,Register!$J$11:$J$510,0))&amp;"")</f>
        <v/>
      </c>
      <c r="C20" s="25" t="str">
        <f aca="false">IF($H20="","",INDEX(Register!$C$11:$C$510,MATCH($H20,Register!$J$11:$J$510,0))&amp;"")</f>
        <v/>
      </c>
      <c r="D20" s="26" t="str">
        <f aca="false">IF($H20="","",IF(ISNUMBER(INDEX(Register!$D$11:$D$510,MATCH($H20,Register!$J$11:$J$510,0))),INDEX(Register!$D$11:$D$510,MATCH($H20,Register!$J$11:$J$510,0)),INDEX(Register!$D$11:$D$510,MATCH($H20,Register!$J$11:$J$510,0))&amp;""))</f>
        <v/>
      </c>
      <c r="E20" s="25" t="str">
        <f aca="false">IF($H20="","",IF(ISNUMBER(INDEX(Register!$E$11:$E$510,MATCH($H20,Register!$J$11:$J$510,0))),INDEX(Register!$E$11:$E$510,MATCH($H20,Register!$J$11:$J$510,0))&amp;" mo",INDEX(Register!$E$11:$E$510,MATCH($H20,Register!$J$11:$J$510,0))&amp;""))</f>
        <v/>
      </c>
      <c r="F20" s="26" t="str">
        <f aca="false">IF($H20="","",INDEX(Register!$F$11:$F$510,MATCH($H20,Register!$J$11:$J$510,0)))</f>
        <v/>
      </c>
      <c r="G20" s="27" t="str">
        <f aca="false">IF($H20="","",IF(INDEX(Register!$G$11:$G$510,MATCH($H20,Register!$J$11:$J$510,0))="Check details","Check details: "&amp;INDEX(Register!$I$11:$I$510,MATCH($H20,Register!$J$11:$J$510,0)),INDEX(Register!$G$11:$G$510,MATCH($H20,Register!$J$11:$J$510,0))))</f>
        <v/>
      </c>
      <c r="H20" s="28" t="str">
        <f aca="false">IF(14&gt;COUNT(Register!$J$11:$J$510),"",SMALL(Register!$J$11:$J$510,14))</f>
        <v/>
      </c>
    </row>
    <row r="21" customFormat="false" ht="15" hidden="false" customHeight="false" outlineLevel="0" collapsed="false">
      <c r="A21" s="25" t="str">
        <f aca="false">IF($H21="","",INDEX(Register!$A$11:$A$510,MATCH($H21,Register!$J$11:$J$510,0))&amp;"")</f>
        <v/>
      </c>
      <c r="B21" s="25" t="str">
        <f aca="false">IF($H21="","",INDEX(Register!$B$11:$B$510,MATCH($H21,Register!$J$11:$J$510,0))&amp;"")</f>
        <v/>
      </c>
      <c r="C21" s="25" t="str">
        <f aca="false">IF($H21="","",INDEX(Register!$C$11:$C$510,MATCH($H21,Register!$J$11:$J$510,0))&amp;"")</f>
        <v/>
      </c>
      <c r="D21" s="26" t="str">
        <f aca="false">IF($H21="","",IF(ISNUMBER(INDEX(Register!$D$11:$D$510,MATCH($H21,Register!$J$11:$J$510,0))),INDEX(Register!$D$11:$D$510,MATCH($H21,Register!$J$11:$J$510,0)),INDEX(Register!$D$11:$D$510,MATCH($H21,Register!$J$11:$J$510,0))&amp;""))</f>
        <v/>
      </c>
      <c r="E21" s="25" t="str">
        <f aca="false">IF($H21="","",IF(ISNUMBER(INDEX(Register!$E$11:$E$510,MATCH($H21,Register!$J$11:$J$510,0))),INDEX(Register!$E$11:$E$510,MATCH($H21,Register!$J$11:$J$510,0))&amp;" mo",INDEX(Register!$E$11:$E$510,MATCH($H21,Register!$J$11:$J$510,0))&amp;""))</f>
        <v/>
      </c>
      <c r="F21" s="26" t="str">
        <f aca="false">IF($H21="","",INDEX(Register!$F$11:$F$510,MATCH($H21,Register!$J$11:$J$510,0)))</f>
        <v/>
      </c>
      <c r="G21" s="27" t="str">
        <f aca="false">IF($H21="","",IF(INDEX(Register!$G$11:$G$510,MATCH($H21,Register!$J$11:$J$510,0))="Check details","Check details: "&amp;INDEX(Register!$I$11:$I$510,MATCH($H21,Register!$J$11:$J$510,0)),INDEX(Register!$G$11:$G$510,MATCH($H21,Register!$J$11:$J$510,0))))</f>
        <v/>
      </c>
      <c r="H21" s="28" t="str">
        <f aca="false">IF(15&gt;COUNT(Register!$J$11:$J$510),"",SMALL(Register!$J$11:$J$510,15))</f>
        <v/>
      </c>
    </row>
    <row r="22" customFormat="false" ht="15" hidden="false" customHeight="false" outlineLevel="0" collapsed="false">
      <c r="A22" s="25" t="str">
        <f aca="false">IF($H22="","",INDEX(Register!$A$11:$A$510,MATCH($H22,Register!$J$11:$J$510,0))&amp;"")</f>
        <v/>
      </c>
      <c r="B22" s="25" t="str">
        <f aca="false">IF($H22="","",INDEX(Register!$B$11:$B$510,MATCH($H22,Register!$J$11:$J$510,0))&amp;"")</f>
        <v/>
      </c>
      <c r="C22" s="25" t="str">
        <f aca="false">IF($H22="","",INDEX(Register!$C$11:$C$510,MATCH($H22,Register!$J$11:$J$510,0))&amp;"")</f>
        <v/>
      </c>
      <c r="D22" s="26" t="str">
        <f aca="false">IF($H22="","",IF(ISNUMBER(INDEX(Register!$D$11:$D$510,MATCH($H22,Register!$J$11:$J$510,0))),INDEX(Register!$D$11:$D$510,MATCH($H22,Register!$J$11:$J$510,0)),INDEX(Register!$D$11:$D$510,MATCH($H22,Register!$J$11:$J$510,0))&amp;""))</f>
        <v/>
      </c>
      <c r="E22" s="25" t="str">
        <f aca="false">IF($H22="","",IF(ISNUMBER(INDEX(Register!$E$11:$E$510,MATCH($H22,Register!$J$11:$J$510,0))),INDEX(Register!$E$11:$E$510,MATCH($H22,Register!$J$11:$J$510,0))&amp;" mo",INDEX(Register!$E$11:$E$510,MATCH($H22,Register!$J$11:$J$510,0))&amp;""))</f>
        <v/>
      </c>
      <c r="F22" s="26" t="str">
        <f aca="false">IF($H22="","",INDEX(Register!$F$11:$F$510,MATCH($H22,Register!$J$11:$J$510,0)))</f>
        <v/>
      </c>
      <c r="G22" s="27" t="str">
        <f aca="false">IF($H22="","",IF(INDEX(Register!$G$11:$G$510,MATCH($H22,Register!$J$11:$J$510,0))="Check details","Check details: "&amp;INDEX(Register!$I$11:$I$510,MATCH($H22,Register!$J$11:$J$510,0)),INDEX(Register!$G$11:$G$510,MATCH($H22,Register!$J$11:$J$510,0))))</f>
        <v/>
      </c>
      <c r="H22" s="28" t="str">
        <f aca="false">IF(16&gt;COUNT(Register!$J$11:$J$510),"",SMALL(Register!$J$11:$J$510,16))</f>
        <v/>
      </c>
    </row>
    <row r="23" customFormat="false" ht="15" hidden="false" customHeight="false" outlineLevel="0" collapsed="false">
      <c r="A23" s="25" t="str">
        <f aca="false">IF($H23="","",INDEX(Register!$A$11:$A$510,MATCH($H23,Register!$J$11:$J$510,0))&amp;"")</f>
        <v/>
      </c>
      <c r="B23" s="25" t="str">
        <f aca="false">IF($H23="","",INDEX(Register!$B$11:$B$510,MATCH($H23,Register!$J$11:$J$510,0))&amp;"")</f>
        <v/>
      </c>
      <c r="C23" s="25" t="str">
        <f aca="false">IF($H23="","",INDEX(Register!$C$11:$C$510,MATCH($H23,Register!$J$11:$J$510,0))&amp;"")</f>
        <v/>
      </c>
      <c r="D23" s="26" t="str">
        <f aca="false">IF($H23="","",IF(ISNUMBER(INDEX(Register!$D$11:$D$510,MATCH($H23,Register!$J$11:$J$510,0))),INDEX(Register!$D$11:$D$510,MATCH($H23,Register!$J$11:$J$510,0)),INDEX(Register!$D$11:$D$510,MATCH($H23,Register!$J$11:$J$510,0))&amp;""))</f>
        <v/>
      </c>
      <c r="E23" s="25" t="str">
        <f aca="false">IF($H23="","",IF(ISNUMBER(INDEX(Register!$E$11:$E$510,MATCH($H23,Register!$J$11:$J$510,0))),INDEX(Register!$E$11:$E$510,MATCH($H23,Register!$J$11:$J$510,0))&amp;" mo",INDEX(Register!$E$11:$E$510,MATCH($H23,Register!$J$11:$J$510,0))&amp;""))</f>
        <v/>
      </c>
      <c r="F23" s="26" t="str">
        <f aca="false">IF($H23="","",INDEX(Register!$F$11:$F$510,MATCH($H23,Register!$J$11:$J$510,0)))</f>
        <v/>
      </c>
      <c r="G23" s="27" t="str">
        <f aca="false">IF($H23="","",IF(INDEX(Register!$G$11:$G$510,MATCH($H23,Register!$J$11:$J$510,0))="Check details","Check details: "&amp;INDEX(Register!$I$11:$I$510,MATCH($H23,Register!$J$11:$J$510,0)),INDEX(Register!$G$11:$G$510,MATCH($H23,Register!$J$11:$J$510,0))))</f>
        <v/>
      </c>
      <c r="H23" s="28" t="str">
        <f aca="false">IF(17&gt;COUNT(Register!$J$11:$J$510),"",SMALL(Register!$J$11:$J$510,17))</f>
        <v/>
      </c>
    </row>
    <row r="24" customFormat="false" ht="15" hidden="false" customHeight="false" outlineLevel="0" collapsed="false">
      <c r="A24" s="25" t="str">
        <f aca="false">IF($H24="","",INDEX(Register!$A$11:$A$510,MATCH($H24,Register!$J$11:$J$510,0))&amp;"")</f>
        <v/>
      </c>
      <c r="B24" s="25" t="str">
        <f aca="false">IF($H24="","",INDEX(Register!$B$11:$B$510,MATCH($H24,Register!$J$11:$J$510,0))&amp;"")</f>
        <v/>
      </c>
      <c r="C24" s="25" t="str">
        <f aca="false">IF($H24="","",INDEX(Register!$C$11:$C$510,MATCH($H24,Register!$J$11:$J$510,0))&amp;"")</f>
        <v/>
      </c>
      <c r="D24" s="26" t="str">
        <f aca="false">IF($H24="","",IF(ISNUMBER(INDEX(Register!$D$11:$D$510,MATCH($H24,Register!$J$11:$J$510,0))),INDEX(Register!$D$11:$D$510,MATCH($H24,Register!$J$11:$J$510,0)),INDEX(Register!$D$11:$D$510,MATCH($H24,Register!$J$11:$J$510,0))&amp;""))</f>
        <v/>
      </c>
      <c r="E24" s="25" t="str">
        <f aca="false">IF($H24="","",IF(ISNUMBER(INDEX(Register!$E$11:$E$510,MATCH($H24,Register!$J$11:$J$510,0))),INDEX(Register!$E$11:$E$510,MATCH($H24,Register!$J$11:$J$510,0))&amp;" mo",INDEX(Register!$E$11:$E$510,MATCH($H24,Register!$J$11:$J$510,0))&amp;""))</f>
        <v/>
      </c>
      <c r="F24" s="26" t="str">
        <f aca="false">IF($H24="","",INDEX(Register!$F$11:$F$510,MATCH($H24,Register!$J$11:$J$510,0)))</f>
        <v/>
      </c>
      <c r="G24" s="27" t="str">
        <f aca="false">IF($H24="","",IF(INDEX(Register!$G$11:$G$510,MATCH($H24,Register!$J$11:$J$510,0))="Check details","Check details: "&amp;INDEX(Register!$I$11:$I$510,MATCH($H24,Register!$J$11:$J$510,0)),INDEX(Register!$G$11:$G$510,MATCH($H24,Register!$J$11:$J$510,0))))</f>
        <v/>
      </c>
      <c r="H24" s="28" t="str">
        <f aca="false">IF(18&gt;COUNT(Register!$J$11:$J$510),"",SMALL(Register!$J$11:$J$510,18))</f>
        <v/>
      </c>
    </row>
    <row r="25" customFormat="false" ht="15" hidden="false" customHeight="false" outlineLevel="0" collapsed="false">
      <c r="A25" s="25" t="str">
        <f aca="false">IF($H25="","",INDEX(Register!$A$11:$A$510,MATCH($H25,Register!$J$11:$J$510,0))&amp;"")</f>
        <v/>
      </c>
      <c r="B25" s="25" t="str">
        <f aca="false">IF($H25="","",INDEX(Register!$B$11:$B$510,MATCH($H25,Register!$J$11:$J$510,0))&amp;"")</f>
        <v/>
      </c>
      <c r="C25" s="25" t="str">
        <f aca="false">IF($H25="","",INDEX(Register!$C$11:$C$510,MATCH($H25,Register!$J$11:$J$510,0))&amp;"")</f>
        <v/>
      </c>
      <c r="D25" s="26" t="str">
        <f aca="false">IF($H25="","",IF(ISNUMBER(INDEX(Register!$D$11:$D$510,MATCH($H25,Register!$J$11:$J$510,0))),INDEX(Register!$D$11:$D$510,MATCH($H25,Register!$J$11:$J$510,0)),INDEX(Register!$D$11:$D$510,MATCH($H25,Register!$J$11:$J$510,0))&amp;""))</f>
        <v/>
      </c>
      <c r="E25" s="25" t="str">
        <f aca="false">IF($H25="","",IF(ISNUMBER(INDEX(Register!$E$11:$E$510,MATCH($H25,Register!$J$11:$J$510,0))),INDEX(Register!$E$11:$E$510,MATCH($H25,Register!$J$11:$J$510,0))&amp;" mo",INDEX(Register!$E$11:$E$510,MATCH($H25,Register!$J$11:$J$510,0))&amp;""))</f>
        <v/>
      </c>
      <c r="F25" s="26" t="str">
        <f aca="false">IF($H25="","",INDEX(Register!$F$11:$F$510,MATCH($H25,Register!$J$11:$J$510,0)))</f>
        <v/>
      </c>
      <c r="G25" s="27" t="str">
        <f aca="false">IF($H25="","",IF(INDEX(Register!$G$11:$G$510,MATCH($H25,Register!$J$11:$J$510,0))="Check details","Check details: "&amp;INDEX(Register!$I$11:$I$510,MATCH($H25,Register!$J$11:$J$510,0)),INDEX(Register!$G$11:$G$510,MATCH($H25,Register!$J$11:$J$510,0))))</f>
        <v/>
      </c>
      <c r="H25" s="28" t="str">
        <f aca="false">IF(19&gt;COUNT(Register!$J$11:$J$510),"",SMALL(Register!$J$11:$J$510,19))</f>
        <v/>
      </c>
    </row>
    <row r="26" customFormat="false" ht="15" hidden="false" customHeight="false" outlineLevel="0" collapsed="false">
      <c r="A26" s="25" t="str">
        <f aca="false">IF($H26="","",INDEX(Register!$A$11:$A$510,MATCH($H26,Register!$J$11:$J$510,0))&amp;"")</f>
        <v/>
      </c>
      <c r="B26" s="25" t="str">
        <f aca="false">IF($H26="","",INDEX(Register!$B$11:$B$510,MATCH($H26,Register!$J$11:$J$510,0))&amp;"")</f>
        <v/>
      </c>
      <c r="C26" s="25" t="str">
        <f aca="false">IF($H26="","",INDEX(Register!$C$11:$C$510,MATCH($H26,Register!$J$11:$J$510,0))&amp;"")</f>
        <v/>
      </c>
      <c r="D26" s="26" t="str">
        <f aca="false">IF($H26="","",IF(ISNUMBER(INDEX(Register!$D$11:$D$510,MATCH($H26,Register!$J$11:$J$510,0))),INDEX(Register!$D$11:$D$510,MATCH($H26,Register!$J$11:$J$510,0)),INDEX(Register!$D$11:$D$510,MATCH($H26,Register!$J$11:$J$510,0))&amp;""))</f>
        <v/>
      </c>
      <c r="E26" s="25" t="str">
        <f aca="false">IF($H26="","",IF(ISNUMBER(INDEX(Register!$E$11:$E$510,MATCH($H26,Register!$J$11:$J$510,0))),INDEX(Register!$E$11:$E$510,MATCH($H26,Register!$J$11:$J$510,0))&amp;" mo",INDEX(Register!$E$11:$E$510,MATCH($H26,Register!$J$11:$J$510,0))&amp;""))</f>
        <v/>
      </c>
      <c r="F26" s="26" t="str">
        <f aca="false">IF($H26="","",INDEX(Register!$F$11:$F$510,MATCH($H26,Register!$J$11:$J$510,0)))</f>
        <v/>
      </c>
      <c r="G26" s="27" t="str">
        <f aca="false">IF($H26="","",IF(INDEX(Register!$G$11:$G$510,MATCH($H26,Register!$J$11:$J$510,0))="Check details","Check details: "&amp;INDEX(Register!$I$11:$I$510,MATCH($H26,Register!$J$11:$J$510,0)),INDEX(Register!$G$11:$G$510,MATCH($H26,Register!$J$11:$J$510,0))))</f>
        <v/>
      </c>
      <c r="H26" s="28" t="str">
        <f aca="false">IF(20&gt;COUNT(Register!$J$11:$J$510),"",SMALL(Register!$J$11:$J$510,20))</f>
        <v/>
      </c>
    </row>
    <row r="27" customFormat="false" ht="15" hidden="false" customHeight="false" outlineLevel="0" collapsed="false">
      <c r="A27" s="25" t="str">
        <f aca="false">IF($H27="","",INDEX(Register!$A$11:$A$510,MATCH($H27,Register!$J$11:$J$510,0))&amp;"")</f>
        <v/>
      </c>
      <c r="B27" s="25" t="str">
        <f aca="false">IF($H27="","",INDEX(Register!$B$11:$B$510,MATCH($H27,Register!$J$11:$J$510,0))&amp;"")</f>
        <v/>
      </c>
      <c r="C27" s="25" t="str">
        <f aca="false">IF($H27="","",INDEX(Register!$C$11:$C$510,MATCH($H27,Register!$J$11:$J$510,0))&amp;"")</f>
        <v/>
      </c>
      <c r="D27" s="26" t="str">
        <f aca="false">IF($H27="","",IF(ISNUMBER(INDEX(Register!$D$11:$D$510,MATCH($H27,Register!$J$11:$J$510,0))),INDEX(Register!$D$11:$D$510,MATCH($H27,Register!$J$11:$J$510,0)),INDEX(Register!$D$11:$D$510,MATCH($H27,Register!$J$11:$J$510,0))&amp;""))</f>
        <v/>
      </c>
      <c r="E27" s="25" t="str">
        <f aca="false">IF($H27="","",IF(ISNUMBER(INDEX(Register!$E$11:$E$510,MATCH($H27,Register!$J$11:$J$510,0))),INDEX(Register!$E$11:$E$510,MATCH($H27,Register!$J$11:$J$510,0))&amp;" mo",INDEX(Register!$E$11:$E$510,MATCH($H27,Register!$J$11:$J$510,0))&amp;""))</f>
        <v/>
      </c>
      <c r="F27" s="26" t="str">
        <f aca="false">IF($H27="","",INDEX(Register!$F$11:$F$510,MATCH($H27,Register!$J$11:$J$510,0)))</f>
        <v/>
      </c>
      <c r="G27" s="27" t="str">
        <f aca="false">IF($H27="","",IF(INDEX(Register!$G$11:$G$510,MATCH($H27,Register!$J$11:$J$510,0))="Check details","Check details: "&amp;INDEX(Register!$I$11:$I$510,MATCH($H27,Register!$J$11:$J$510,0)),INDEX(Register!$G$11:$G$510,MATCH($H27,Register!$J$11:$J$510,0))))</f>
        <v/>
      </c>
      <c r="H27" s="28" t="str">
        <f aca="false">IF(21&gt;COUNT(Register!$J$11:$J$510),"",SMALL(Register!$J$11:$J$510,21))</f>
        <v/>
      </c>
    </row>
    <row r="28" customFormat="false" ht="15" hidden="false" customHeight="false" outlineLevel="0" collapsed="false">
      <c r="A28" s="25" t="str">
        <f aca="false">IF($H28="","",INDEX(Register!$A$11:$A$510,MATCH($H28,Register!$J$11:$J$510,0))&amp;"")</f>
        <v/>
      </c>
      <c r="B28" s="25" t="str">
        <f aca="false">IF($H28="","",INDEX(Register!$B$11:$B$510,MATCH($H28,Register!$J$11:$J$510,0))&amp;"")</f>
        <v/>
      </c>
      <c r="C28" s="25" t="str">
        <f aca="false">IF($H28="","",INDEX(Register!$C$11:$C$510,MATCH($H28,Register!$J$11:$J$510,0))&amp;"")</f>
        <v/>
      </c>
      <c r="D28" s="26" t="str">
        <f aca="false">IF($H28="","",IF(ISNUMBER(INDEX(Register!$D$11:$D$510,MATCH($H28,Register!$J$11:$J$510,0))),INDEX(Register!$D$11:$D$510,MATCH($H28,Register!$J$11:$J$510,0)),INDEX(Register!$D$11:$D$510,MATCH($H28,Register!$J$11:$J$510,0))&amp;""))</f>
        <v/>
      </c>
      <c r="E28" s="25" t="str">
        <f aca="false">IF($H28="","",IF(ISNUMBER(INDEX(Register!$E$11:$E$510,MATCH($H28,Register!$J$11:$J$510,0))),INDEX(Register!$E$11:$E$510,MATCH($H28,Register!$J$11:$J$510,0))&amp;" mo",INDEX(Register!$E$11:$E$510,MATCH($H28,Register!$J$11:$J$510,0))&amp;""))</f>
        <v/>
      </c>
      <c r="F28" s="26" t="str">
        <f aca="false">IF($H28="","",INDEX(Register!$F$11:$F$510,MATCH($H28,Register!$J$11:$J$510,0)))</f>
        <v/>
      </c>
      <c r="G28" s="27" t="str">
        <f aca="false">IF($H28="","",IF(INDEX(Register!$G$11:$G$510,MATCH($H28,Register!$J$11:$J$510,0))="Check details","Check details: "&amp;INDEX(Register!$I$11:$I$510,MATCH($H28,Register!$J$11:$J$510,0)),INDEX(Register!$G$11:$G$510,MATCH($H28,Register!$J$11:$J$510,0))))</f>
        <v/>
      </c>
      <c r="H28" s="28" t="str">
        <f aca="false">IF(22&gt;COUNT(Register!$J$11:$J$510),"",SMALL(Register!$J$11:$J$510,22))</f>
        <v/>
      </c>
    </row>
    <row r="29" customFormat="false" ht="15" hidden="false" customHeight="false" outlineLevel="0" collapsed="false">
      <c r="A29" s="25" t="str">
        <f aca="false">IF($H29="","",INDEX(Register!$A$11:$A$510,MATCH($H29,Register!$J$11:$J$510,0))&amp;"")</f>
        <v/>
      </c>
      <c r="B29" s="25" t="str">
        <f aca="false">IF($H29="","",INDEX(Register!$B$11:$B$510,MATCH($H29,Register!$J$11:$J$510,0))&amp;"")</f>
        <v/>
      </c>
      <c r="C29" s="25" t="str">
        <f aca="false">IF($H29="","",INDEX(Register!$C$11:$C$510,MATCH($H29,Register!$J$11:$J$510,0))&amp;"")</f>
        <v/>
      </c>
      <c r="D29" s="26" t="str">
        <f aca="false">IF($H29="","",IF(ISNUMBER(INDEX(Register!$D$11:$D$510,MATCH($H29,Register!$J$11:$J$510,0))),INDEX(Register!$D$11:$D$510,MATCH($H29,Register!$J$11:$J$510,0)),INDEX(Register!$D$11:$D$510,MATCH($H29,Register!$J$11:$J$510,0))&amp;""))</f>
        <v/>
      </c>
      <c r="E29" s="25" t="str">
        <f aca="false">IF($H29="","",IF(ISNUMBER(INDEX(Register!$E$11:$E$510,MATCH($H29,Register!$J$11:$J$510,0))),INDEX(Register!$E$11:$E$510,MATCH($H29,Register!$J$11:$J$510,0))&amp;" mo",INDEX(Register!$E$11:$E$510,MATCH($H29,Register!$J$11:$J$510,0))&amp;""))</f>
        <v/>
      </c>
      <c r="F29" s="26" t="str">
        <f aca="false">IF($H29="","",INDEX(Register!$F$11:$F$510,MATCH($H29,Register!$J$11:$J$510,0)))</f>
        <v/>
      </c>
      <c r="G29" s="27" t="str">
        <f aca="false">IF($H29="","",IF(INDEX(Register!$G$11:$G$510,MATCH($H29,Register!$J$11:$J$510,0))="Check details","Check details: "&amp;INDEX(Register!$I$11:$I$510,MATCH($H29,Register!$J$11:$J$510,0)),INDEX(Register!$G$11:$G$510,MATCH($H29,Register!$J$11:$J$510,0))))</f>
        <v/>
      </c>
      <c r="H29" s="28" t="str">
        <f aca="false">IF(23&gt;COUNT(Register!$J$11:$J$510),"",SMALL(Register!$J$11:$J$510,23))</f>
        <v/>
      </c>
    </row>
    <row r="30" customFormat="false" ht="15" hidden="false" customHeight="false" outlineLevel="0" collapsed="false">
      <c r="A30" s="25" t="str">
        <f aca="false">IF($H30="","",INDEX(Register!$A$11:$A$510,MATCH($H30,Register!$J$11:$J$510,0))&amp;"")</f>
        <v/>
      </c>
      <c r="B30" s="25" t="str">
        <f aca="false">IF($H30="","",INDEX(Register!$B$11:$B$510,MATCH($H30,Register!$J$11:$J$510,0))&amp;"")</f>
        <v/>
      </c>
      <c r="C30" s="25" t="str">
        <f aca="false">IF($H30="","",INDEX(Register!$C$11:$C$510,MATCH($H30,Register!$J$11:$J$510,0))&amp;"")</f>
        <v/>
      </c>
      <c r="D30" s="26" t="str">
        <f aca="false">IF($H30="","",IF(ISNUMBER(INDEX(Register!$D$11:$D$510,MATCH($H30,Register!$J$11:$J$510,0))),INDEX(Register!$D$11:$D$510,MATCH($H30,Register!$J$11:$J$510,0)),INDEX(Register!$D$11:$D$510,MATCH($H30,Register!$J$11:$J$510,0))&amp;""))</f>
        <v/>
      </c>
      <c r="E30" s="25" t="str">
        <f aca="false">IF($H30="","",IF(ISNUMBER(INDEX(Register!$E$11:$E$510,MATCH($H30,Register!$J$11:$J$510,0))),INDEX(Register!$E$11:$E$510,MATCH($H30,Register!$J$11:$J$510,0))&amp;" mo",INDEX(Register!$E$11:$E$510,MATCH($H30,Register!$J$11:$J$510,0))&amp;""))</f>
        <v/>
      </c>
      <c r="F30" s="26" t="str">
        <f aca="false">IF($H30="","",INDEX(Register!$F$11:$F$510,MATCH($H30,Register!$J$11:$J$510,0)))</f>
        <v/>
      </c>
      <c r="G30" s="27" t="str">
        <f aca="false">IF($H30="","",IF(INDEX(Register!$G$11:$G$510,MATCH($H30,Register!$J$11:$J$510,0))="Check details","Check details: "&amp;INDEX(Register!$I$11:$I$510,MATCH($H30,Register!$J$11:$J$510,0)),INDEX(Register!$G$11:$G$510,MATCH($H30,Register!$J$11:$J$510,0))))</f>
        <v/>
      </c>
      <c r="H30" s="28" t="str">
        <f aca="false">IF(24&gt;COUNT(Register!$J$11:$J$510),"",SMALL(Register!$J$11:$J$510,24))</f>
        <v/>
      </c>
    </row>
    <row r="31" customFormat="false" ht="15" hidden="false" customHeight="false" outlineLevel="0" collapsed="false">
      <c r="A31" s="25" t="str">
        <f aca="false">IF($H31="","",INDEX(Register!$A$11:$A$510,MATCH($H31,Register!$J$11:$J$510,0))&amp;"")</f>
        <v/>
      </c>
      <c r="B31" s="25" t="str">
        <f aca="false">IF($H31="","",INDEX(Register!$B$11:$B$510,MATCH($H31,Register!$J$11:$J$510,0))&amp;"")</f>
        <v/>
      </c>
      <c r="C31" s="25" t="str">
        <f aca="false">IF($H31="","",INDEX(Register!$C$11:$C$510,MATCH($H31,Register!$J$11:$J$510,0))&amp;"")</f>
        <v/>
      </c>
      <c r="D31" s="26" t="str">
        <f aca="false">IF($H31="","",IF(ISNUMBER(INDEX(Register!$D$11:$D$510,MATCH($H31,Register!$J$11:$J$510,0))),INDEX(Register!$D$11:$D$510,MATCH($H31,Register!$J$11:$J$510,0)),INDEX(Register!$D$11:$D$510,MATCH($H31,Register!$J$11:$J$510,0))&amp;""))</f>
        <v/>
      </c>
      <c r="E31" s="25" t="str">
        <f aca="false">IF($H31="","",IF(ISNUMBER(INDEX(Register!$E$11:$E$510,MATCH($H31,Register!$J$11:$J$510,0))),INDEX(Register!$E$11:$E$510,MATCH($H31,Register!$J$11:$J$510,0))&amp;" mo",INDEX(Register!$E$11:$E$510,MATCH($H31,Register!$J$11:$J$510,0))&amp;""))</f>
        <v/>
      </c>
      <c r="F31" s="26" t="str">
        <f aca="false">IF($H31="","",INDEX(Register!$F$11:$F$510,MATCH($H31,Register!$J$11:$J$510,0)))</f>
        <v/>
      </c>
      <c r="G31" s="27" t="str">
        <f aca="false">IF($H31="","",IF(INDEX(Register!$G$11:$G$510,MATCH($H31,Register!$J$11:$J$510,0))="Check details","Check details: "&amp;INDEX(Register!$I$11:$I$510,MATCH($H31,Register!$J$11:$J$510,0)),INDEX(Register!$G$11:$G$510,MATCH($H31,Register!$J$11:$J$510,0))))</f>
        <v/>
      </c>
      <c r="H31" s="28" t="str">
        <f aca="false">IF(25&gt;COUNT(Register!$J$11:$J$510),"",SMALL(Register!$J$11:$J$510,25))</f>
        <v/>
      </c>
    </row>
    <row r="32" customFormat="false" ht="15" hidden="false" customHeight="false" outlineLevel="0" collapsed="false">
      <c r="A32" s="25" t="str">
        <f aca="false">IF($H32="","",INDEX(Register!$A$11:$A$510,MATCH($H32,Register!$J$11:$J$510,0))&amp;"")</f>
        <v/>
      </c>
      <c r="B32" s="25" t="str">
        <f aca="false">IF($H32="","",INDEX(Register!$B$11:$B$510,MATCH($H32,Register!$J$11:$J$510,0))&amp;"")</f>
        <v/>
      </c>
      <c r="C32" s="25" t="str">
        <f aca="false">IF($H32="","",INDEX(Register!$C$11:$C$510,MATCH($H32,Register!$J$11:$J$510,0))&amp;"")</f>
        <v/>
      </c>
      <c r="D32" s="26" t="str">
        <f aca="false">IF($H32="","",IF(ISNUMBER(INDEX(Register!$D$11:$D$510,MATCH($H32,Register!$J$11:$J$510,0))),INDEX(Register!$D$11:$D$510,MATCH($H32,Register!$J$11:$J$510,0)),INDEX(Register!$D$11:$D$510,MATCH($H32,Register!$J$11:$J$510,0))&amp;""))</f>
        <v/>
      </c>
      <c r="E32" s="25" t="str">
        <f aca="false">IF($H32="","",IF(ISNUMBER(INDEX(Register!$E$11:$E$510,MATCH($H32,Register!$J$11:$J$510,0))),INDEX(Register!$E$11:$E$510,MATCH($H32,Register!$J$11:$J$510,0))&amp;" mo",INDEX(Register!$E$11:$E$510,MATCH($H32,Register!$J$11:$J$510,0))&amp;""))</f>
        <v/>
      </c>
      <c r="F32" s="26" t="str">
        <f aca="false">IF($H32="","",INDEX(Register!$F$11:$F$510,MATCH($H32,Register!$J$11:$J$510,0)))</f>
        <v/>
      </c>
      <c r="G32" s="27" t="str">
        <f aca="false">IF($H32="","",IF(INDEX(Register!$G$11:$G$510,MATCH($H32,Register!$J$11:$J$510,0))="Check details","Check details: "&amp;INDEX(Register!$I$11:$I$510,MATCH($H32,Register!$J$11:$J$510,0)),INDEX(Register!$G$11:$G$510,MATCH($H32,Register!$J$11:$J$510,0))))</f>
        <v/>
      </c>
      <c r="H32" s="28" t="str">
        <f aca="false">IF(26&gt;COUNT(Register!$J$11:$J$510),"",SMALL(Register!$J$11:$J$510,26))</f>
        <v/>
      </c>
    </row>
    <row r="33" customFormat="false" ht="15" hidden="false" customHeight="false" outlineLevel="0" collapsed="false">
      <c r="A33" s="25" t="str">
        <f aca="false">IF($H33="","",INDEX(Register!$A$11:$A$510,MATCH($H33,Register!$J$11:$J$510,0))&amp;"")</f>
        <v/>
      </c>
      <c r="B33" s="25" t="str">
        <f aca="false">IF($H33="","",INDEX(Register!$B$11:$B$510,MATCH($H33,Register!$J$11:$J$510,0))&amp;"")</f>
        <v/>
      </c>
      <c r="C33" s="25" t="str">
        <f aca="false">IF($H33="","",INDEX(Register!$C$11:$C$510,MATCH($H33,Register!$J$11:$J$510,0))&amp;"")</f>
        <v/>
      </c>
      <c r="D33" s="26" t="str">
        <f aca="false">IF($H33="","",IF(ISNUMBER(INDEX(Register!$D$11:$D$510,MATCH($H33,Register!$J$11:$J$510,0))),INDEX(Register!$D$11:$D$510,MATCH($H33,Register!$J$11:$J$510,0)),INDEX(Register!$D$11:$D$510,MATCH($H33,Register!$J$11:$J$510,0))&amp;""))</f>
        <v/>
      </c>
      <c r="E33" s="25" t="str">
        <f aca="false">IF($H33="","",IF(ISNUMBER(INDEX(Register!$E$11:$E$510,MATCH($H33,Register!$J$11:$J$510,0))),INDEX(Register!$E$11:$E$510,MATCH($H33,Register!$J$11:$J$510,0))&amp;" mo",INDEX(Register!$E$11:$E$510,MATCH($H33,Register!$J$11:$J$510,0))&amp;""))</f>
        <v/>
      </c>
      <c r="F33" s="26" t="str">
        <f aca="false">IF($H33="","",INDEX(Register!$F$11:$F$510,MATCH($H33,Register!$J$11:$J$510,0)))</f>
        <v/>
      </c>
      <c r="G33" s="27" t="str">
        <f aca="false">IF($H33="","",IF(INDEX(Register!$G$11:$G$510,MATCH($H33,Register!$J$11:$J$510,0))="Check details","Check details: "&amp;INDEX(Register!$I$11:$I$510,MATCH($H33,Register!$J$11:$J$510,0)),INDEX(Register!$G$11:$G$510,MATCH($H33,Register!$J$11:$J$510,0))))</f>
        <v/>
      </c>
      <c r="H33" s="28" t="str">
        <f aca="false">IF(27&gt;COUNT(Register!$J$11:$J$510),"",SMALL(Register!$J$11:$J$510,27))</f>
        <v/>
      </c>
    </row>
    <row r="34" customFormat="false" ht="15" hidden="false" customHeight="false" outlineLevel="0" collapsed="false">
      <c r="A34" s="25" t="str">
        <f aca="false">IF($H34="","",INDEX(Register!$A$11:$A$510,MATCH($H34,Register!$J$11:$J$510,0))&amp;"")</f>
        <v/>
      </c>
      <c r="B34" s="25" t="str">
        <f aca="false">IF($H34="","",INDEX(Register!$B$11:$B$510,MATCH($H34,Register!$J$11:$J$510,0))&amp;"")</f>
        <v/>
      </c>
      <c r="C34" s="25" t="str">
        <f aca="false">IF($H34="","",INDEX(Register!$C$11:$C$510,MATCH($H34,Register!$J$11:$J$510,0))&amp;"")</f>
        <v/>
      </c>
      <c r="D34" s="26" t="str">
        <f aca="false">IF($H34="","",IF(ISNUMBER(INDEX(Register!$D$11:$D$510,MATCH($H34,Register!$J$11:$J$510,0))),INDEX(Register!$D$11:$D$510,MATCH($H34,Register!$J$11:$J$510,0)),INDEX(Register!$D$11:$D$510,MATCH($H34,Register!$J$11:$J$510,0))&amp;""))</f>
        <v/>
      </c>
      <c r="E34" s="25" t="str">
        <f aca="false">IF($H34="","",IF(ISNUMBER(INDEX(Register!$E$11:$E$510,MATCH($H34,Register!$J$11:$J$510,0))),INDEX(Register!$E$11:$E$510,MATCH($H34,Register!$J$11:$J$510,0))&amp;" mo",INDEX(Register!$E$11:$E$510,MATCH($H34,Register!$J$11:$J$510,0))&amp;""))</f>
        <v/>
      </c>
      <c r="F34" s="26" t="str">
        <f aca="false">IF($H34="","",INDEX(Register!$F$11:$F$510,MATCH($H34,Register!$J$11:$J$510,0)))</f>
        <v/>
      </c>
      <c r="G34" s="27" t="str">
        <f aca="false">IF($H34="","",IF(INDEX(Register!$G$11:$G$510,MATCH($H34,Register!$J$11:$J$510,0))="Check details","Check details: "&amp;INDEX(Register!$I$11:$I$510,MATCH($H34,Register!$J$11:$J$510,0)),INDEX(Register!$G$11:$G$510,MATCH($H34,Register!$J$11:$J$510,0))))</f>
        <v/>
      </c>
      <c r="H34" s="28" t="str">
        <f aca="false">IF(28&gt;COUNT(Register!$J$11:$J$510),"",SMALL(Register!$J$11:$J$510,28))</f>
        <v/>
      </c>
    </row>
    <row r="35" customFormat="false" ht="15" hidden="false" customHeight="false" outlineLevel="0" collapsed="false">
      <c r="A35" s="25" t="str">
        <f aca="false">IF($H35="","",INDEX(Register!$A$11:$A$510,MATCH($H35,Register!$J$11:$J$510,0))&amp;"")</f>
        <v/>
      </c>
      <c r="B35" s="25" t="str">
        <f aca="false">IF($H35="","",INDEX(Register!$B$11:$B$510,MATCH($H35,Register!$J$11:$J$510,0))&amp;"")</f>
        <v/>
      </c>
      <c r="C35" s="25" t="str">
        <f aca="false">IF($H35="","",INDEX(Register!$C$11:$C$510,MATCH($H35,Register!$J$11:$J$510,0))&amp;"")</f>
        <v/>
      </c>
      <c r="D35" s="26" t="str">
        <f aca="false">IF($H35="","",IF(ISNUMBER(INDEX(Register!$D$11:$D$510,MATCH($H35,Register!$J$11:$J$510,0))),INDEX(Register!$D$11:$D$510,MATCH($H35,Register!$J$11:$J$510,0)),INDEX(Register!$D$11:$D$510,MATCH($H35,Register!$J$11:$J$510,0))&amp;""))</f>
        <v/>
      </c>
      <c r="E35" s="25" t="str">
        <f aca="false">IF($H35="","",IF(ISNUMBER(INDEX(Register!$E$11:$E$510,MATCH($H35,Register!$J$11:$J$510,0))),INDEX(Register!$E$11:$E$510,MATCH($H35,Register!$J$11:$J$510,0))&amp;" mo",INDEX(Register!$E$11:$E$510,MATCH($H35,Register!$J$11:$J$510,0))&amp;""))</f>
        <v/>
      </c>
      <c r="F35" s="26" t="str">
        <f aca="false">IF($H35="","",INDEX(Register!$F$11:$F$510,MATCH($H35,Register!$J$11:$J$510,0)))</f>
        <v/>
      </c>
      <c r="G35" s="27" t="str">
        <f aca="false">IF($H35="","",IF(INDEX(Register!$G$11:$G$510,MATCH($H35,Register!$J$11:$J$510,0))="Check details","Check details: "&amp;INDEX(Register!$I$11:$I$510,MATCH($H35,Register!$J$11:$J$510,0)),INDEX(Register!$G$11:$G$510,MATCH($H35,Register!$J$11:$J$510,0))))</f>
        <v/>
      </c>
      <c r="H35" s="28" t="str">
        <f aca="false">IF(29&gt;COUNT(Register!$J$11:$J$510),"",SMALL(Register!$J$11:$J$510,29))</f>
        <v/>
      </c>
    </row>
    <row r="36" customFormat="false" ht="15" hidden="false" customHeight="false" outlineLevel="0" collapsed="false">
      <c r="A36" s="25" t="str">
        <f aca="false">IF($H36="","",INDEX(Register!$A$11:$A$510,MATCH($H36,Register!$J$11:$J$510,0))&amp;"")</f>
        <v/>
      </c>
      <c r="B36" s="25" t="str">
        <f aca="false">IF($H36="","",INDEX(Register!$B$11:$B$510,MATCH($H36,Register!$J$11:$J$510,0))&amp;"")</f>
        <v/>
      </c>
      <c r="C36" s="25" t="str">
        <f aca="false">IF($H36="","",INDEX(Register!$C$11:$C$510,MATCH($H36,Register!$J$11:$J$510,0))&amp;"")</f>
        <v/>
      </c>
      <c r="D36" s="26" t="str">
        <f aca="false">IF($H36="","",IF(ISNUMBER(INDEX(Register!$D$11:$D$510,MATCH($H36,Register!$J$11:$J$510,0))),INDEX(Register!$D$11:$D$510,MATCH($H36,Register!$J$11:$J$510,0)),INDEX(Register!$D$11:$D$510,MATCH($H36,Register!$J$11:$J$510,0))&amp;""))</f>
        <v/>
      </c>
      <c r="E36" s="25" t="str">
        <f aca="false">IF($H36="","",IF(ISNUMBER(INDEX(Register!$E$11:$E$510,MATCH($H36,Register!$J$11:$J$510,0))),INDEX(Register!$E$11:$E$510,MATCH($H36,Register!$J$11:$J$510,0))&amp;" mo",INDEX(Register!$E$11:$E$510,MATCH($H36,Register!$J$11:$J$510,0))&amp;""))</f>
        <v/>
      </c>
      <c r="F36" s="26" t="str">
        <f aca="false">IF($H36="","",INDEX(Register!$F$11:$F$510,MATCH($H36,Register!$J$11:$J$510,0)))</f>
        <v/>
      </c>
      <c r="G36" s="27" t="str">
        <f aca="false">IF($H36="","",IF(INDEX(Register!$G$11:$G$510,MATCH($H36,Register!$J$11:$J$510,0))="Check details","Check details: "&amp;INDEX(Register!$I$11:$I$510,MATCH($H36,Register!$J$11:$J$510,0)),INDEX(Register!$G$11:$G$510,MATCH($H36,Register!$J$11:$J$510,0))))</f>
        <v/>
      </c>
      <c r="H36" s="28" t="str">
        <f aca="false">IF(30&gt;COUNT(Register!$J$11:$J$510),"",SMALL(Register!$J$11:$J$510,30))</f>
        <v/>
      </c>
    </row>
    <row r="37" customFormat="false" ht="15" hidden="false" customHeight="false" outlineLevel="0" collapsed="false">
      <c r="A37" s="25" t="str">
        <f aca="false">IF($H37="","",INDEX(Register!$A$11:$A$510,MATCH($H37,Register!$J$11:$J$510,0))&amp;"")</f>
        <v/>
      </c>
      <c r="B37" s="25" t="str">
        <f aca="false">IF($H37="","",INDEX(Register!$B$11:$B$510,MATCH($H37,Register!$J$11:$J$510,0))&amp;"")</f>
        <v/>
      </c>
      <c r="C37" s="25" t="str">
        <f aca="false">IF($H37="","",INDEX(Register!$C$11:$C$510,MATCH($H37,Register!$J$11:$J$510,0))&amp;"")</f>
        <v/>
      </c>
      <c r="D37" s="26" t="str">
        <f aca="false">IF($H37="","",IF(ISNUMBER(INDEX(Register!$D$11:$D$510,MATCH($H37,Register!$J$11:$J$510,0))),INDEX(Register!$D$11:$D$510,MATCH($H37,Register!$J$11:$J$510,0)),INDEX(Register!$D$11:$D$510,MATCH($H37,Register!$J$11:$J$510,0))&amp;""))</f>
        <v/>
      </c>
      <c r="E37" s="25" t="str">
        <f aca="false">IF($H37="","",IF(ISNUMBER(INDEX(Register!$E$11:$E$510,MATCH($H37,Register!$J$11:$J$510,0))),INDEX(Register!$E$11:$E$510,MATCH($H37,Register!$J$11:$J$510,0))&amp;" mo",INDEX(Register!$E$11:$E$510,MATCH($H37,Register!$J$11:$J$510,0))&amp;""))</f>
        <v/>
      </c>
      <c r="F37" s="26" t="str">
        <f aca="false">IF($H37="","",INDEX(Register!$F$11:$F$510,MATCH($H37,Register!$J$11:$J$510,0)))</f>
        <v/>
      </c>
      <c r="G37" s="27" t="str">
        <f aca="false">IF($H37="","",IF(INDEX(Register!$G$11:$G$510,MATCH($H37,Register!$J$11:$J$510,0))="Check details","Check details: "&amp;INDEX(Register!$I$11:$I$510,MATCH($H37,Register!$J$11:$J$510,0)),INDEX(Register!$G$11:$G$510,MATCH($H37,Register!$J$11:$J$510,0))))</f>
        <v/>
      </c>
      <c r="H37" s="28" t="str">
        <f aca="false">IF(31&gt;COUNT(Register!$J$11:$J$510),"",SMALL(Register!$J$11:$J$510,31))</f>
        <v/>
      </c>
    </row>
    <row r="38" customFormat="false" ht="15" hidden="false" customHeight="false" outlineLevel="0" collapsed="false">
      <c r="A38" s="25" t="str">
        <f aca="false">IF($H38="","",INDEX(Register!$A$11:$A$510,MATCH($H38,Register!$J$11:$J$510,0))&amp;"")</f>
        <v/>
      </c>
      <c r="B38" s="25" t="str">
        <f aca="false">IF($H38="","",INDEX(Register!$B$11:$B$510,MATCH($H38,Register!$J$11:$J$510,0))&amp;"")</f>
        <v/>
      </c>
      <c r="C38" s="25" t="str">
        <f aca="false">IF($H38="","",INDEX(Register!$C$11:$C$510,MATCH($H38,Register!$J$11:$J$510,0))&amp;"")</f>
        <v/>
      </c>
      <c r="D38" s="26" t="str">
        <f aca="false">IF($H38="","",IF(ISNUMBER(INDEX(Register!$D$11:$D$510,MATCH($H38,Register!$J$11:$J$510,0))),INDEX(Register!$D$11:$D$510,MATCH($H38,Register!$J$11:$J$510,0)),INDEX(Register!$D$11:$D$510,MATCH($H38,Register!$J$11:$J$510,0))&amp;""))</f>
        <v/>
      </c>
      <c r="E38" s="25" t="str">
        <f aca="false">IF($H38="","",IF(ISNUMBER(INDEX(Register!$E$11:$E$510,MATCH($H38,Register!$J$11:$J$510,0))),INDEX(Register!$E$11:$E$510,MATCH($H38,Register!$J$11:$J$510,0))&amp;" mo",INDEX(Register!$E$11:$E$510,MATCH($H38,Register!$J$11:$J$510,0))&amp;""))</f>
        <v/>
      </c>
      <c r="F38" s="26" t="str">
        <f aca="false">IF($H38="","",INDEX(Register!$F$11:$F$510,MATCH($H38,Register!$J$11:$J$510,0)))</f>
        <v/>
      </c>
      <c r="G38" s="27" t="str">
        <f aca="false">IF($H38="","",IF(INDEX(Register!$G$11:$G$510,MATCH($H38,Register!$J$11:$J$510,0))="Check details","Check details: "&amp;INDEX(Register!$I$11:$I$510,MATCH($H38,Register!$J$11:$J$510,0)),INDEX(Register!$G$11:$G$510,MATCH($H38,Register!$J$11:$J$510,0))))</f>
        <v/>
      </c>
      <c r="H38" s="28" t="str">
        <f aca="false">IF(32&gt;COUNT(Register!$J$11:$J$510),"",SMALL(Register!$J$11:$J$510,32))</f>
        <v/>
      </c>
    </row>
    <row r="39" customFormat="false" ht="15" hidden="false" customHeight="false" outlineLevel="0" collapsed="false">
      <c r="A39" s="25" t="str">
        <f aca="false">IF($H39="","",INDEX(Register!$A$11:$A$510,MATCH($H39,Register!$J$11:$J$510,0))&amp;"")</f>
        <v/>
      </c>
      <c r="B39" s="25" t="str">
        <f aca="false">IF($H39="","",INDEX(Register!$B$11:$B$510,MATCH($H39,Register!$J$11:$J$510,0))&amp;"")</f>
        <v/>
      </c>
      <c r="C39" s="25" t="str">
        <f aca="false">IF($H39="","",INDEX(Register!$C$11:$C$510,MATCH($H39,Register!$J$11:$J$510,0))&amp;"")</f>
        <v/>
      </c>
      <c r="D39" s="26" t="str">
        <f aca="false">IF($H39="","",IF(ISNUMBER(INDEX(Register!$D$11:$D$510,MATCH($H39,Register!$J$11:$J$510,0))),INDEX(Register!$D$11:$D$510,MATCH($H39,Register!$J$11:$J$510,0)),INDEX(Register!$D$11:$D$510,MATCH($H39,Register!$J$11:$J$510,0))&amp;""))</f>
        <v/>
      </c>
      <c r="E39" s="25" t="str">
        <f aca="false">IF($H39="","",IF(ISNUMBER(INDEX(Register!$E$11:$E$510,MATCH($H39,Register!$J$11:$J$510,0))),INDEX(Register!$E$11:$E$510,MATCH($H39,Register!$J$11:$J$510,0))&amp;" mo",INDEX(Register!$E$11:$E$510,MATCH($H39,Register!$J$11:$J$510,0))&amp;""))</f>
        <v/>
      </c>
      <c r="F39" s="26" t="str">
        <f aca="false">IF($H39="","",INDEX(Register!$F$11:$F$510,MATCH($H39,Register!$J$11:$J$510,0)))</f>
        <v/>
      </c>
      <c r="G39" s="27" t="str">
        <f aca="false">IF($H39="","",IF(INDEX(Register!$G$11:$G$510,MATCH($H39,Register!$J$11:$J$510,0))="Check details","Check details: "&amp;INDEX(Register!$I$11:$I$510,MATCH($H39,Register!$J$11:$J$510,0)),INDEX(Register!$G$11:$G$510,MATCH($H39,Register!$J$11:$J$510,0))))</f>
        <v/>
      </c>
      <c r="H39" s="28" t="str">
        <f aca="false">IF(33&gt;COUNT(Register!$J$11:$J$510),"",SMALL(Register!$J$11:$J$510,33))</f>
        <v/>
      </c>
    </row>
    <row r="40" customFormat="false" ht="15" hidden="false" customHeight="false" outlineLevel="0" collapsed="false">
      <c r="A40" s="25" t="str">
        <f aca="false">IF($H40="","",INDEX(Register!$A$11:$A$510,MATCH($H40,Register!$J$11:$J$510,0))&amp;"")</f>
        <v/>
      </c>
      <c r="B40" s="25" t="str">
        <f aca="false">IF($H40="","",INDEX(Register!$B$11:$B$510,MATCH($H40,Register!$J$11:$J$510,0))&amp;"")</f>
        <v/>
      </c>
      <c r="C40" s="25" t="str">
        <f aca="false">IF($H40="","",INDEX(Register!$C$11:$C$510,MATCH($H40,Register!$J$11:$J$510,0))&amp;"")</f>
        <v/>
      </c>
      <c r="D40" s="26" t="str">
        <f aca="false">IF($H40="","",IF(ISNUMBER(INDEX(Register!$D$11:$D$510,MATCH($H40,Register!$J$11:$J$510,0))),INDEX(Register!$D$11:$D$510,MATCH($H40,Register!$J$11:$J$510,0)),INDEX(Register!$D$11:$D$510,MATCH($H40,Register!$J$11:$J$510,0))&amp;""))</f>
        <v/>
      </c>
      <c r="E40" s="25" t="str">
        <f aca="false">IF($H40="","",IF(ISNUMBER(INDEX(Register!$E$11:$E$510,MATCH($H40,Register!$J$11:$J$510,0))),INDEX(Register!$E$11:$E$510,MATCH($H40,Register!$J$11:$J$510,0))&amp;" mo",INDEX(Register!$E$11:$E$510,MATCH($H40,Register!$J$11:$J$510,0))&amp;""))</f>
        <v/>
      </c>
      <c r="F40" s="26" t="str">
        <f aca="false">IF($H40="","",INDEX(Register!$F$11:$F$510,MATCH($H40,Register!$J$11:$J$510,0)))</f>
        <v/>
      </c>
      <c r="G40" s="27" t="str">
        <f aca="false">IF($H40="","",IF(INDEX(Register!$G$11:$G$510,MATCH($H40,Register!$J$11:$J$510,0))="Check details","Check details: "&amp;INDEX(Register!$I$11:$I$510,MATCH($H40,Register!$J$11:$J$510,0)),INDEX(Register!$G$11:$G$510,MATCH($H40,Register!$J$11:$J$510,0))))</f>
        <v/>
      </c>
      <c r="H40" s="28" t="str">
        <f aca="false">IF(34&gt;COUNT(Register!$J$11:$J$510),"",SMALL(Register!$J$11:$J$510,34))</f>
        <v/>
      </c>
    </row>
    <row r="41" customFormat="false" ht="15" hidden="false" customHeight="false" outlineLevel="0" collapsed="false">
      <c r="A41" s="25" t="str">
        <f aca="false">IF($H41="","",INDEX(Register!$A$11:$A$510,MATCH($H41,Register!$J$11:$J$510,0))&amp;"")</f>
        <v/>
      </c>
      <c r="B41" s="25" t="str">
        <f aca="false">IF($H41="","",INDEX(Register!$B$11:$B$510,MATCH($H41,Register!$J$11:$J$510,0))&amp;"")</f>
        <v/>
      </c>
      <c r="C41" s="25" t="str">
        <f aca="false">IF($H41="","",INDEX(Register!$C$11:$C$510,MATCH($H41,Register!$J$11:$J$510,0))&amp;"")</f>
        <v/>
      </c>
      <c r="D41" s="26" t="str">
        <f aca="false">IF($H41="","",IF(ISNUMBER(INDEX(Register!$D$11:$D$510,MATCH($H41,Register!$J$11:$J$510,0))),INDEX(Register!$D$11:$D$510,MATCH($H41,Register!$J$11:$J$510,0)),INDEX(Register!$D$11:$D$510,MATCH($H41,Register!$J$11:$J$510,0))&amp;""))</f>
        <v/>
      </c>
      <c r="E41" s="25" t="str">
        <f aca="false">IF($H41="","",IF(ISNUMBER(INDEX(Register!$E$11:$E$510,MATCH($H41,Register!$J$11:$J$510,0))),INDEX(Register!$E$11:$E$510,MATCH($H41,Register!$J$11:$J$510,0))&amp;" mo",INDEX(Register!$E$11:$E$510,MATCH($H41,Register!$J$11:$J$510,0))&amp;""))</f>
        <v/>
      </c>
      <c r="F41" s="26" t="str">
        <f aca="false">IF($H41="","",INDEX(Register!$F$11:$F$510,MATCH($H41,Register!$J$11:$J$510,0)))</f>
        <v/>
      </c>
      <c r="G41" s="27" t="str">
        <f aca="false">IF($H41="","",IF(INDEX(Register!$G$11:$G$510,MATCH($H41,Register!$J$11:$J$510,0))="Check details","Check details: "&amp;INDEX(Register!$I$11:$I$510,MATCH($H41,Register!$J$11:$J$510,0)),INDEX(Register!$G$11:$G$510,MATCH($H41,Register!$J$11:$J$510,0))))</f>
        <v/>
      </c>
      <c r="H41" s="28" t="str">
        <f aca="false">IF(35&gt;COUNT(Register!$J$11:$J$510),"",SMALL(Register!$J$11:$J$510,35))</f>
        <v/>
      </c>
    </row>
    <row r="42" customFormat="false" ht="15" hidden="false" customHeight="false" outlineLevel="0" collapsed="false">
      <c r="A42" s="25" t="str">
        <f aca="false">IF($H42="","",INDEX(Register!$A$11:$A$510,MATCH($H42,Register!$J$11:$J$510,0))&amp;"")</f>
        <v/>
      </c>
      <c r="B42" s="25" t="str">
        <f aca="false">IF($H42="","",INDEX(Register!$B$11:$B$510,MATCH($H42,Register!$J$11:$J$510,0))&amp;"")</f>
        <v/>
      </c>
      <c r="C42" s="25" t="str">
        <f aca="false">IF($H42="","",INDEX(Register!$C$11:$C$510,MATCH($H42,Register!$J$11:$J$510,0))&amp;"")</f>
        <v/>
      </c>
      <c r="D42" s="26" t="str">
        <f aca="false">IF($H42="","",IF(ISNUMBER(INDEX(Register!$D$11:$D$510,MATCH($H42,Register!$J$11:$J$510,0))),INDEX(Register!$D$11:$D$510,MATCH($H42,Register!$J$11:$J$510,0)),INDEX(Register!$D$11:$D$510,MATCH($H42,Register!$J$11:$J$510,0))&amp;""))</f>
        <v/>
      </c>
      <c r="E42" s="25" t="str">
        <f aca="false">IF($H42="","",IF(ISNUMBER(INDEX(Register!$E$11:$E$510,MATCH($H42,Register!$J$11:$J$510,0))),INDEX(Register!$E$11:$E$510,MATCH($H42,Register!$J$11:$J$510,0))&amp;" mo",INDEX(Register!$E$11:$E$510,MATCH($H42,Register!$J$11:$J$510,0))&amp;""))</f>
        <v/>
      </c>
      <c r="F42" s="26" t="str">
        <f aca="false">IF($H42="","",INDEX(Register!$F$11:$F$510,MATCH($H42,Register!$J$11:$J$510,0)))</f>
        <v/>
      </c>
      <c r="G42" s="27" t="str">
        <f aca="false">IF($H42="","",IF(INDEX(Register!$G$11:$G$510,MATCH($H42,Register!$J$11:$J$510,0))="Check details","Check details: "&amp;INDEX(Register!$I$11:$I$510,MATCH($H42,Register!$J$11:$J$510,0)),INDEX(Register!$G$11:$G$510,MATCH($H42,Register!$J$11:$J$510,0))))</f>
        <v/>
      </c>
      <c r="H42" s="28" t="str">
        <f aca="false">IF(36&gt;COUNT(Register!$J$11:$J$510),"",SMALL(Register!$J$11:$J$510,36))</f>
        <v/>
      </c>
    </row>
    <row r="43" customFormat="false" ht="15" hidden="false" customHeight="false" outlineLevel="0" collapsed="false">
      <c r="A43" s="25" t="str">
        <f aca="false">IF($H43="","",INDEX(Register!$A$11:$A$510,MATCH($H43,Register!$J$11:$J$510,0))&amp;"")</f>
        <v/>
      </c>
      <c r="B43" s="25" t="str">
        <f aca="false">IF($H43="","",INDEX(Register!$B$11:$B$510,MATCH($H43,Register!$J$11:$J$510,0))&amp;"")</f>
        <v/>
      </c>
      <c r="C43" s="25" t="str">
        <f aca="false">IF($H43="","",INDEX(Register!$C$11:$C$510,MATCH($H43,Register!$J$11:$J$510,0))&amp;"")</f>
        <v/>
      </c>
      <c r="D43" s="26" t="str">
        <f aca="false">IF($H43="","",IF(ISNUMBER(INDEX(Register!$D$11:$D$510,MATCH($H43,Register!$J$11:$J$510,0))),INDEX(Register!$D$11:$D$510,MATCH($H43,Register!$J$11:$J$510,0)),INDEX(Register!$D$11:$D$510,MATCH($H43,Register!$J$11:$J$510,0))&amp;""))</f>
        <v/>
      </c>
      <c r="E43" s="25" t="str">
        <f aca="false">IF($H43="","",IF(ISNUMBER(INDEX(Register!$E$11:$E$510,MATCH($H43,Register!$J$11:$J$510,0))),INDEX(Register!$E$11:$E$510,MATCH($H43,Register!$J$11:$J$510,0))&amp;" mo",INDEX(Register!$E$11:$E$510,MATCH($H43,Register!$J$11:$J$510,0))&amp;""))</f>
        <v/>
      </c>
      <c r="F43" s="26" t="str">
        <f aca="false">IF($H43="","",INDEX(Register!$F$11:$F$510,MATCH($H43,Register!$J$11:$J$510,0)))</f>
        <v/>
      </c>
      <c r="G43" s="27" t="str">
        <f aca="false">IF($H43="","",IF(INDEX(Register!$G$11:$G$510,MATCH($H43,Register!$J$11:$J$510,0))="Check details","Check details: "&amp;INDEX(Register!$I$11:$I$510,MATCH($H43,Register!$J$11:$J$510,0)),INDEX(Register!$G$11:$G$510,MATCH($H43,Register!$J$11:$J$510,0))))</f>
        <v/>
      </c>
      <c r="H43" s="28" t="str">
        <f aca="false">IF(37&gt;COUNT(Register!$J$11:$J$510),"",SMALL(Register!$J$11:$J$510,37))</f>
        <v/>
      </c>
    </row>
    <row r="44" customFormat="false" ht="15" hidden="false" customHeight="false" outlineLevel="0" collapsed="false">
      <c r="A44" s="25" t="str">
        <f aca="false">IF($H44="","",INDEX(Register!$A$11:$A$510,MATCH($H44,Register!$J$11:$J$510,0))&amp;"")</f>
        <v/>
      </c>
      <c r="B44" s="25" t="str">
        <f aca="false">IF($H44="","",INDEX(Register!$B$11:$B$510,MATCH($H44,Register!$J$11:$J$510,0))&amp;"")</f>
        <v/>
      </c>
      <c r="C44" s="25" t="str">
        <f aca="false">IF($H44="","",INDEX(Register!$C$11:$C$510,MATCH($H44,Register!$J$11:$J$510,0))&amp;"")</f>
        <v/>
      </c>
      <c r="D44" s="26" t="str">
        <f aca="false">IF($H44="","",IF(ISNUMBER(INDEX(Register!$D$11:$D$510,MATCH($H44,Register!$J$11:$J$510,0))),INDEX(Register!$D$11:$D$510,MATCH($H44,Register!$J$11:$J$510,0)),INDEX(Register!$D$11:$D$510,MATCH($H44,Register!$J$11:$J$510,0))&amp;""))</f>
        <v/>
      </c>
      <c r="E44" s="25" t="str">
        <f aca="false">IF($H44="","",IF(ISNUMBER(INDEX(Register!$E$11:$E$510,MATCH($H44,Register!$J$11:$J$510,0))),INDEX(Register!$E$11:$E$510,MATCH($H44,Register!$J$11:$J$510,0))&amp;" mo",INDEX(Register!$E$11:$E$510,MATCH($H44,Register!$J$11:$J$510,0))&amp;""))</f>
        <v/>
      </c>
      <c r="F44" s="26" t="str">
        <f aca="false">IF($H44="","",INDEX(Register!$F$11:$F$510,MATCH($H44,Register!$J$11:$J$510,0)))</f>
        <v/>
      </c>
      <c r="G44" s="27" t="str">
        <f aca="false">IF($H44="","",IF(INDEX(Register!$G$11:$G$510,MATCH($H44,Register!$J$11:$J$510,0))="Check details","Check details: "&amp;INDEX(Register!$I$11:$I$510,MATCH($H44,Register!$J$11:$J$510,0)),INDEX(Register!$G$11:$G$510,MATCH($H44,Register!$J$11:$J$510,0))))</f>
        <v/>
      </c>
      <c r="H44" s="28" t="str">
        <f aca="false">IF(38&gt;COUNT(Register!$J$11:$J$510),"",SMALL(Register!$J$11:$J$510,38))</f>
        <v/>
      </c>
    </row>
    <row r="45" customFormat="false" ht="15" hidden="false" customHeight="false" outlineLevel="0" collapsed="false">
      <c r="A45" s="25" t="str">
        <f aca="false">IF($H45="","",INDEX(Register!$A$11:$A$510,MATCH($H45,Register!$J$11:$J$510,0))&amp;"")</f>
        <v/>
      </c>
      <c r="B45" s="25" t="str">
        <f aca="false">IF($H45="","",INDEX(Register!$B$11:$B$510,MATCH($H45,Register!$J$11:$J$510,0))&amp;"")</f>
        <v/>
      </c>
      <c r="C45" s="25" t="str">
        <f aca="false">IF($H45="","",INDEX(Register!$C$11:$C$510,MATCH($H45,Register!$J$11:$J$510,0))&amp;"")</f>
        <v/>
      </c>
      <c r="D45" s="26" t="str">
        <f aca="false">IF($H45="","",IF(ISNUMBER(INDEX(Register!$D$11:$D$510,MATCH($H45,Register!$J$11:$J$510,0))),INDEX(Register!$D$11:$D$510,MATCH($H45,Register!$J$11:$J$510,0)),INDEX(Register!$D$11:$D$510,MATCH($H45,Register!$J$11:$J$510,0))&amp;""))</f>
        <v/>
      </c>
      <c r="E45" s="25" t="str">
        <f aca="false">IF($H45="","",IF(ISNUMBER(INDEX(Register!$E$11:$E$510,MATCH($H45,Register!$J$11:$J$510,0))),INDEX(Register!$E$11:$E$510,MATCH($H45,Register!$J$11:$J$510,0))&amp;" mo",INDEX(Register!$E$11:$E$510,MATCH($H45,Register!$J$11:$J$510,0))&amp;""))</f>
        <v/>
      </c>
      <c r="F45" s="26" t="str">
        <f aca="false">IF($H45="","",INDEX(Register!$F$11:$F$510,MATCH($H45,Register!$J$11:$J$510,0)))</f>
        <v/>
      </c>
      <c r="G45" s="27" t="str">
        <f aca="false">IF($H45="","",IF(INDEX(Register!$G$11:$G$510,MATCH($H45,Register!$J$11:$J$510,0))="Check details","Check details: "&amp;INDEX(Register!$I$11:$I$510,MATCH($H45,Register!$J$11:$J$510,0)),INDEX(Register!$G$11:$G$510,MATCH($H45,Register!$J$11:$J$510,0))))</f>
        <v/>
      </c>
      <c r="H45" s="28" t="str">
        <f aca="false">IF(39&gt;COUNT(Register!$J$11:$J$510),"",SMALL(Register!$J$11:$J$510,39))</f>
        <v/>
      </c>
    </row>
    <row r="46" customFormat="false" ht="15" hidden="false" customHeight="false" outlineLevel="0" collapsed="false">
      <c r="A46" s="25" t="str">
        <f aca="false">IF($H46="","",INDEX(Register!$A$11:$A$510,MATCH($H46,Register!$J$11:$J$510,0))&amp;"")</f>
        <v/>
      </c>
      <c r="B46" s="25" t="str">
        <f aca="false">IF($H46="","",INDEX(Register!$B$11:$B$510,MATCH($H46,Register!$J$11:$J$510,0))&amp;"")</f>
        <v/>
      </c>
      <c r="C46" s="25" t="str">
        <f aca="false">IF($H46="","",INDEX(Register!$C$11:$C$510,MATCH($H46,Register!$J$11:$J$510,0))&amp;"")</f>
        <v/>
      </c>
      <c r="D46" s="26" t="str">
        <f aca="false">IF($H46="","",IF(ISNUMBER(INDEX(Register!$D$11:$D$510,MATCH($H46,Register!$J$11:$J$510,0))),INDEX(Register!$D$11:$D$510,MATCH($H46,Register!$J$11:$J$510,0)),INDEX(Register!$D$11:$D$510,MATCH($H46,Register!$J$11:$J$510,0))&amp;""))</f>
        <v/>
      </c>
      <c r="E46" s="25" t="str">
        <f aca="false">IF($H46="","",IF(ISNUMBER(INDEX(Register!$E$11:$E$510,MATCH($H46,Register!$J$11:$J$510,0))),INDEX(Register!$E$11:$E$510,MATCH($H46,Register!$J$11:$J$510,0))&amp;" mo",INDEX(Register!$E$11:$E$510,MATCH($H46,Register!$J$11:$J$510,0))&amp;""))</f>
        <v/>
      </c>
      <c r="F46" s="26" t="str">
        <f aca="false">IF($H46="","",INDEX(Register!$F$11:$F$510,MATCH($H46,Register!$J$11:$J$510,0)))</f>
        <v/>
      </c>
      <c r="G46" s="27" t="str">
        <f aca="false">IF($H46="","",IF(INDEX(Register!$G$11:$G$510,MATCH($H46,Register!$J$11:$J$510,0))="Check details","Check details: "&amp;INDEX(Register!$I$11:$I$510,MATCH($H46,Register!$J$11:$J$510,0)),INDEX(Register!$G$11:$G$510,MATCH($H46,Register!$J$11:$J$510,0))))</f>
        <v/>
      </c>
      <c r="H46" s="28" t="str">
        <f aca="false">IF(40&gt;COUNT(Register!$J$11:$J$510),"",SMALL(Register!$J$11:$J$510,40))</f>
        <v/>
      </c>
    </row>
    <row r="47" customFormat="false" ht="15" hidden="false" customHeight="false" outlineLevel="0" collapsed="false">
      <c r="A47" s="25" t="str">
        <f aca="false">IF($H47="","",INDEX(Register!$A$11:$A$510,MATCH($H47,Register!$J$11:$J$510,0))&amp;"")</f>
        <v/>
      </c>
      <c r="B47" s="25" t="str">
        <f aca="false">IF($H47="","",INDEX(Register!$B$11:$B$510,MATCH($H47,Register!$J$11:$J$510,0))&amp;"")</f>
        <v/>
      </c>
      <c r="C47" s="25" t="str">
        <f aca="false">IF($H47="","",INDEX(Register!$C$11:$C$510,MATCH($H47,Register!$J$11:$J$510,0))&amp;"")</f>
        <v/>
      </c>
      <c r="D47" s="26" t="str">
        <f aca="false">IF($H47="","",IF(ISNUMBER(INDEX(Register!$D$11:$D$510,MATCH($H47,Register!$J$11:$J$510,0))),INDEX(Register!$D$11:$D$510,MATCH($H47,Register!$J$11:$J$510,0)),INDEX(Register!$D$11:$D$510,MATCH($H47,Register!$J$11:$J$510,0))&amp;""))</f>
        <v/>
      </c>
      <c r="E47" s="25" t="str">
        <f aca="false">IF($H47="","",IF(ISNUMBER(INDEX(Register!$E$11:$E$510,MATCH($H47,Register!$J$11:$J$510,0))),INDEX(Register!$E$11:$E$510,MATCH($H47,Register!$J$11:$J$510,0))&amp;" mo",INDEX(Register!$E$11:$E$510,MATCH($H47,Register!$J$11:$J$510,0))&amp;""))</f>
        <v/>
      </c>
      <c r="F47" s="26" t="str">
        <f aca="false">IF($H47="","",INDEX(Register!$F$11:$F$510,MATCH($H47,Register!$J$11:$J$510,0)))</f>
        <v/>
      </c>
      <c r="G47" s="27" t="str">
        <f aca="false">IF($H47="","",IF(INDEX(Register!$G$11:$G$510,MATCH($H47,Register!$J$11:$J$510,0))="Check details","Check details: "&amp;INDEX(Register!$I$11:$I$510,MATCH($H47,Register!$J$11:$J$510,0)),INDEX(Register!$G$11:$G$510,MATCH($H47,Register!$J$11:$J$510,0))))</f>
        <v/>
      </c>
      <c r="H47" s="28" t="str">
        <f aca="false">IF(41&gt;COUNT(Register!$J$11:$J$510),"",SMALL(Register!$J$11:$J$510,41))</f>
        <v/>
      </c>
    </row>
    <row r="48" customFormat="false" ht="15" hidden="false" customHeight="false" outlineLevel="0" collapsed="false">
      <c r="A48" s="25" t="str">
        <f aca="false">IF($H48="","",INDEX(Register!$A$11:$A$510,MATCH($H48,Register!$J$11:$J$510,0))&amp;"")</f>
        <v/>
      </c>
      <c r="B48" s="25" t="str">
        <f aca="false">IF($H48="","",INDEX(Register!$B$11:$B$510,MATCH($H48,Register!$J$11:$J$510,0))&amp;"")</f>
        <v/>
      </c>
      <c r="C48" s="25" t="str">
        <f aca="false">IF($H48="","",INDEX(Register!$C$11:$C$510,MATCH($H48,Register!$J$11:$J$510,0))&amp;"")</f>
        <v/>
      </c>
      <c r="D48" s="26" t="str">
        <f aca="false">IF($H48="","",IF(ISNUMBER(INDEX(Register!$D$11:$D$510,MATCH($H48,Register!$J$11:$J$510,0))),INDEX(Register!$D$11:$D$510,MATCH($H48,Register!$J$11:$J$510,0)),INDEX(Register!$D$11:$D$510,MATCH($H48,Register!$J$11:$J$510,0))&amp;""))</f>
        <v/>
      </c>
      <c r="E48" s="25" t="str">
        <f aca="false">IF($H48="","",IF(ISNUMBER(INDEX(Register!$E$11:$E$510,MATCH($H48,Register!$J$11:$J$510,0))),INDEX(Register!$E$11:$E$510,MATCH($H48,Register!$J$11:$J$510,0))&amp;" mo",INDEX(Register!$E$11:$E$510,MATCH($H48,Register!$J$11:$J$510,0))&amp;""))</f>
        <v/>
      </c>
      <c r="F48" s="26" t="str">
        <f aca="false">IF($H48="","",INDEX(Register!$F$11:$F$510,MATCH($H48,Register!$J$11:$J$510,0)))</f>
        <v/>
      </c>
      <c r="G48" s="27" t="str">
        <f aca="false">IF($H48="","",IF(INDEX(Register!$G$11:$G$510,MATCH($H48,Register!$J$11:$J$510,0))="Check details","Check details: "&amp;INDEX(Register!$I$11:$I$510,MATCH($H48,Register!$J$11:$J$510,0)),INDEX(Register!$G$11:$G$510,MATCH($H48,Register!$J$11:$J$510,0))))</f>
        <v/>
      </c>
      <c r="H48" s="28" t="str">
        <f aca="false">IF(42&gt;COUNT(Register!$J$11:$J$510),"",SMALL(Register!$J$11:$J$510,42))</f>
        <v/>
      </c>
    </row>
    <row r="49" customFormat="false" ht="15" hidden="false" customHeight="false" outlineLevel="0" collapsed="false">
      <c r="A49" s="25" t="str">
        <f aca="false">IF($H49="","",INDEX(Register!$A$11:$A$510,MATCH($H49,Register!$J$11:$J$510,0))&amp;"")</f>
        <v/>
      </c>
      <c r="B49" s="25" t="str">
        <f aca="false">IF($H49="","",INDEX(Register!$B$11:$B$510,MATCH($H49,Register!$J$11:$J$510,0))&amp;"")</f>
        <v/>
      </c>
      <c r="C49" s="25" t="str">
        <f aca="false">IF($H49="","",INDEX(Register!$C$11:$C$510,MATCH($H49,Register!$J$11:$J$510,0))&amp;"")</f>
        <v/>
      </c>
      <c r="D49" s="26" t="str">
        <f aca="false">IF($H49="","",IF(ISNUMBER(INDEX(Register!$D$11:$D$510,MATCH($H49,Register!$J$11:$J$510,0))),INDEX(Register!$D$11:$D$510,MATCH($H49,Register!$J$11:$J$510,0)),INDEX(Register!$D$11:$D$510,MATCH($H49,Register!$J$11:$J$510,0))&amp;""))</f>
        <v/>
      </c>
      <c r="E49" s="25" t="str">
        <f aca="false">IF($H49="","",IF(ISNUMBER(INDEX(Register!$E$11:$E$510,MATCH($H49,Register!$J$11:$J$510,0))),INDEX(Register!$E$11:$E$510,MATCH($H49,Register!$J$11:$J$510,0))&amp;" mo",INDEX(Register!$E$11:$E$510,MATCH($H49,Register!$J$11:$J$510,0))&amp;""))</f>
        <v/>
      </c>
      <c r="F49" s="26" t="str">
        <f aca="false">IF($H49="","",INDEX(Register!$F$11:$F$510,MATCH($H49,Register!$J$11:$J$510,0)))</f>
        <v/>
      </c>
      <c r="G49" s="27" t="str">
        <f aca="false">IF($H49="","",IF(INDEX(Register!$G$11:$G$510,MATCH($H49,Register!$J$11:$J$510,0))="Check details","Check details: "&amp;INDEX(Register!$I$11:$I$510,MATCH($H49,Register!$J$11:$J$510,0)),INDEX(Register!$G$11:$G$510,MATCH($H49,Register!$J$11:$J$510,0))))</f>
        <v/>
      </c>
      <c r="H49" s="28" t="str">
        <f aca="false">IF(43&gt;COUNT(Register!$J$11:$J$510),"",SMALL(Register!$J$11:$J$510,43))</f>
        <v/>
      </c>
    </row>
    <row r="50" customFormat="false" ht="15" hidden="false" customHeight="false" outlineLevel="0" collapsed="false">
      <c r="A50" s="25" t="str">
        <f aca="false">IF($H50="","",INDEX(Register!$A$11:$A$510,MATCH($H50,Register!$J$11:$J$510,0))&amp;"")</f>
        <v/>
      </c>
      <c r="B50" s="25" t="str">
        <f aca="false">IF($H50="","",INDEX(Register!$B$11:$B$510,MATCH($H50,Register!$J$11:$J$510,0))&amp;"")</f>
        <v/>
      </c>
      <c r="C50" s="25" t="str">
        <f aca="false">IF($H50="","",INDEX(Register!$C$11:$C$510,MATCH($H50,Register!$J$11:$J$510,0))&amp;"")</f>
        <v/>
      </c>
      <c r="D50" s="26" t="str">
        <f aca="false">IF($H50="","",IF(ISNUMBER(INDEX(Register!$D$11:$D$510,MATCH($H50,Register!$J$11:$J$510,0))),INDEX(Register!$D$11:$D$510,MATCH($H50,Register!$J$11:$J$510,0)),INDEX(Register!$D$11:$D$510,MATCH($H50,Register!$J$11:$J$510,0))&amp;""))</f>
        <v/>
      </c>
      <c r="E50" s="25" t="str">
        <f aca="false">IF($H50="","",IF(ISNUMBER(INDEX(Register!$E$11:$E$510,MATCH($H50,Register!$J$11:$J$510,0))),INDEX(Register!$E$11:$E$510,MATCH($H50,Register!$J$11:$J$510,0))&amp;" mo",INDEX(Register!$E$11:$E$510,MATCH($H50,Register!$J$11:$J$510,0))&amp;""))</f>
        <v/>
      </c>
      <c r="F50" s="26" t="str">
        <f aca="false">IF($H50="","",INDEX(Register!$F$11:$F$510,MATCH($H50,Register!$J$11:$J$510,0)))</f>
        <v/>
      </c>
      <c r="G50" s="27" t="str">
        <f aca="false">IF($H50="","",IF(INDEX(Register!$G$11:$G$510,MATCH($H50,Register!$J$11:$J$510,0))="Check details","Check details: "&amp;INDEX(Register!$I$11:$I$510,MATCH($H50,Register!$J$11:$J$510,0)),INDEX(Register!$G$11:$G$510,MATCH($H50,Register!$J$11:$J$510,0))))</f>
        <v/>
      </c>
      <c r="H50" s="28" t="str">
        <f aca="false">IF(44&gt;COUNT(Register!$J$11:$J$510),"",SMALL(Register!$J$11:$J$510,44))</f>
        <v/>
      </c>
    </row>
    <row r="51" customFormat="false" ht="15" hidden="false" customHeight="false" outlineLevel="0" collapsed="false">
      <c r="A51" s="25" t="str">
        <f aca="false">IF($H51="","",INDEX(Register!$A$11:$A$510,MATCH($H51,Register!$J$11:$J$510,0))&amp;"")</f>
        <v/>
      </c>
      <c r="B51" s="25" t="str">
        <f aca="false">IF($H51="","",INDEX(Register!$B$11:$B$510,MATCH($H51,Register!$J$11:$J$510,0))&amp;"")</f>
        <v/>
      </c>
      <c r="C51" s="25" t="str">
        <f aca="false">IF($H51="","",INDEX(Register!$C$11:$C$510,MATCH($H51,Register!$J$11:$J$510,0))&amp;"")</f>
        <v/>
      </c>
      <c r="D51" s="26" t="str">
        <f aca="false">IF($H51="","",IF(ISNUMBER(INDEX(Register!$D$11:$D$510,MATCH($H51,Register!$J$11:$J$510,0))),INDEX(Register!$D$11:$D$510,MATCH($H51,Register!$J$11:$J$510,0)),INDEX(Register!$D$11:$D$510,MATCH($H51,Register!$J$11:$J$510,0))&amp;""))</f>
        <v/>
      </c>
      <c r="E51" s="25" t="str">
        <f aca="false">IF($H51="","",IF(ISNUMBER(INDEX(Register!$E$11:$E$510,MATCH($H51,Register!$J$11:$J$510,0))),INDEX(Register!$E$11:$E$510,MATCH($H51,Register!$J$11:$J$510,0))&amp;" mo",INDEX(Register!$E$11:$E$510,MATCH($H51,Register!$J$11:$J$510,0))&amp;""))</f>
        <v/>
      </c>
      <c r="F51" s="26" t="str">
        <f aca="false">IF($H51="","",INDEX(Register!$F$11:$F$510,MATCH($H51,Register!$J$11:$J$510,0)))</f>
        <v/>
      </c>
      <c r="G51" s="27" t="str">
        <f aca="false">IF($H51="","",IF(INDEX(Register!$G$11:$G$510,MATCH($H51,Register!$J$11:$J$510,0))="Check details","Check details: "&amp;INDEX(Register!$I$11:$I$510,MATCH($H51,Register!$J$11:$J$510,0)),INDEX(Register!$G$11:$G$510,MATCH($H51,Register!$J$11:$J$510,0))))</f>
        <v/>
      </c>
      <c r="H51" s="28" t="str">
        <f aca="false">IF(45&gt;COUNT(Register!$J$11:$J$510),"",SMALL(Register!$J$11:$J$510,45))</f>
        <v/>
      </c>
    </row>
    <row r="52" customFormat="false" ht="15" hidden="false" customHeight="false" outlineLevel="0" collapsed="false">
      <c r="A52" s="25" t="str">
        <f aca="false">IF($H52="","",INDEX(Register!$A$11:$A$510,MATCH($H52,Register!$J$11:$J$510,0))&amp;"")</f>
        <v/>
      </c>
      <c r="B52" s="25" t="str">
        <f aca="false">IF($H52="","",INDEX(Register!$B$11:$B$510,MATCH($H52,Register!$J$11:$J$510,0))&amp;"")</f>
        <v/>
      </c>
      <c r="C52" s="25" t="str">
        <f aca="false">IF($H52="","",INDEX(Register!$C$11:$C$510,MATCH($H52,Register!$J$11:$J$510,0))&amp;"")</f>
        <v/>
      </c>
      <c r="D52" s="26" t="str">
        <f aca="false">IF($H52="","",IF(ISNUMBER(INDEX(Register!$D$11:$D$510,MATCH($H52,Register!$J$11:$J$510,0))),INDEX(Register!$D$11:$D$510,MATCH($H52,Register!$J$11:$J$510,0)),INDEX(Register!$D$11:$D$510,MATCH($H52,Register!$J$11:$J$510,0))&amp;""))</f>
        <v/>
      </c>
      <c r="E52" s="25" t="str">
        <f aca="false">IF($H52="","",IF(ISNUMBER(INDEX(Register!$E$11:$E$510,MATCH($H52,Register!$J$11:$J$510,0))),INDEX(Register!$E$11:$E$510,MATCH($H52,Register!$J$11:$J$510,0))&amp;" mo",INDEX(Register!$E$11:$E$510,MATCH($H52,Register!$J$11:$J$510,0))&amp;""))</f>
        <v/>
      </c>
      <c r="F52" s="26" t="str">
        <f aca="false">IF($H52="","",INDEX(Register!$F$11:$F$510,MATCH($H52,Register!$J$11:$J$510,0)))</f>
        <v/>
      </c>
      <c r="G52" s="27" t="str">
        <f aca="false">IF($H52="","",IF(INDEX(Register!$G$11:$G$510,MATCH($H52,Register!$J$11:$J$510,0))="Check details","Check details: "&amp;INDEX(Register!$I$11:$I$510,MATCH($H52,Register!$J$11:$J$510,0)),INDEX(Register!$G$11:$G$510,MATCH($H52,Register!$J$11:$J$510,0))))</f>
        <v/>
      </c>
      <c r="H52" s="28" t="str">
        <f aca="false">IF(46&gt;COUNT(Register!$J$11:$J$510),"",SMALL(Register!$J$11:$J$510,46))</f>
        <v/>
      </c>
    </row>
    <row r="53" customFormat="false" ht="15" hidden="false" customHeight="false" outlineLevel="0" collapsed="false">
      <c r="A53" s="25" t="str">
        <f aca="false">IF($H53="","",INDEX(Register!$A$11:$A$510,MATCH($H53,Register!$J$11:$J$510,0))&amp;"")</f>
        <v/>
      </c>
      <c r="B53" s="25" t="str">
        <f aca="false">IF($H53="","",INDEX(Register!$B$11:$B$510,MATCH($H53,Register!$J$11:$J$510,0))&amp;"")</f>
        <v/>
      </c>
      <c r="C53" s="25" t="str">
        <f aca="false">IF($H53="","",INDEX(Register!$C$11:$C$510,MATCH($H53,Register!$J$11:$J$510,0))&amp;"")</f>
        <v/>
      </c>
      <c r="D53" s="26" t="str">
        <f aca="false">IF($H53="","",IF(ISNUMBER(INDEX(Register!$D$11:$D$510,MATCH($H53,Register!$J$11:$J$510,0))),INDEX(Register!$D$11:$D$510,MATCH($H53,Register!$J$11:$J$510,0)),INDEX(Register!$D$11:$D$510,MATCH($H53,Register!$J$11:$J$510,0))&amp;""))</f>
        <v/>
      </c>
      <c r="E53" s="25" t="str">
        <f aca="false">IF($H53="","",IF(ISNUMBER(INDEX(Register!$E$11:$E$510,MATCH($H53,Register!$J$11:$J$510,0))),INDEX(Register!$E$11:$E$510,MATCH($H53,Register!$J$11:$J$510,0))&amp;" mo",INDEX(Register!$E$11:$E$510,MATCH($H53,Register!$J$11:$J$510,0))&amp;""))</f>
        <v/>
      </c>
      <c r="F53" s="26" t="str">
        <f aca="false">IF($H53="","",INDEX(Register!$F$11:$F$510,MATCH($H53,Register!$J$11:$J$510,0)))</f>
        <v/>
      </c>
      <c r="G53" s="27" t="str">
        <f aca="false">IF($H53="","",IF(INDEX(Register!$G$11:$G$510,MATCH($H53,Register!$J$11:$J$510,0))="Check details","Check details: "&amp;INDEX(Register!$I$11:$I$510,MATCH($H53,Register!$J$11:$J$510,0)),INDEX(Register!$G$11:$G$510,MATCH($H53,Register!$J$11:$J$510,0))))</f>
        <v/>
      </c>
      <c r="H53" s="28" t="str">
        <f aca="false">IF(47&gt;COUNT(Register!$J$11:$J$510),"",SMALL(Register!$J$11:$J$510,47))</f>
        <v/>
      </c>
    </row>
    <row r="54" customFormat="false" ht="15" hidden="false" customHeight="false" outlineLevel="0" collapsed="false">
      <c r="A54" s="25" t="str">
        <f aca="false">IF($H54="","",INDEX(Register!$A$11:$A$510,MATCH($H54,Register!$J$11:$J$510,0))&amp;"")</f>
        <v/>
      </c>
      <c r="B54" s="25" t="str">
        <f aca="false">IF($H54="","",INDEX(Register!$B$11:$B$510,MATCH($H54,Register!$J$11:$J$510,0))&amp;"")</f>
        <v/>
      </c>
      <c r="C54" s="25" t="str">
        <f aca="false">IF($H54="","",INDEX(Register!$C$11:$C$510,MATCH($H54,Register!$J$11:$J$510,0))&amp;"")</f>
        <v/>
      </c>
      <c r="D54" s="26" t="str">
        <f aca="false">IF($H54="","",IF(ISNUMBER(INDEX(Register!$D$11:$D$510,MATCH($H54,Register!$J$11:$J$510,0))),INDEX(Register!$D$11:$D$510,MATCH($H54,Register!$J$11:$J$510,0)),INDEX(Register!$D$11:$D$510,MATCH($H54,Register!$J$11:$J$510,0))&amp;""))</f>
        <v/>
      </c>
      <c r="E54" s="25" t="str">
        <f aca="false">IF($H54="","",IF(ISNUMBER(INDEX(Register!$E$11:$E$510,MATCH($H54,Register!$J$11:$J$510,0))),INDEX(Register!$E$11:$E$510,MATCH($H54,Register!$J$11:$J$510,0))&amp;" mo",INDEX(Register!$E$11:$E$510,MATCH($H54,Register!$J$11:$J$510,0))&amp;""))</f>
        <v/>
      </c>
      <c r="F54" s="26" t="str">
        <f aca="false">IF($H54="","",INDEX(Register!$F$11:$F$510,MATCH($H54,Register!$J$11:$J$510,0)))</f>
        <v/>
      </c>
      <c r="G54" s="27" t="str">
        <f aca="false">IF($H54="","",IF(INDEX(Register!$G$11:$G$510,MATCH($H54,Register!$J$11:$J$510,0))="Check details","Check details: "&amp;INDEX(Register!$I$11:$I$510,MATCH($H54,Register!$J$11:$J$510,0)),INDEX(Register!$G$11:$G$510,MATCH($H54,Register!$J$11:$J$510,0))))</f>
        <v/>
      </c>
      <c r="H54" s="28" t="str">
        <f aca="false">IF(48&gt;COUNT(Register!$J$11:$J$510),"",SMALL(Register!$J$11:$J$510,48))</f>
        <v/>
      </c>
    </row>
    <row r="55" customFormat="false" ht="15" hidden="false" customHeight="false" outlineLevel="0" collapsed="false">
      <c r="A55" s="25" t="str">
        <f aca="false">IF($H55="","",INDEX(Register!$A$11:$A$510,MATCH($H55,Register!$J$11:$J$510,0))&amp;"")</f>
        <v/>
      </c>
      <c r="B55" s="25" t="str">
        <f aca="false">IF($H55="","",INDEX(Register!$B$11:$B$510,MATCH($H55,Register!$J$11:$J$510,0))&amp;"")</f>
        <v/>
      </c>
      <c r="C55" s="25" t="str">
        <f aca="false">IF($H55="","",INDEX(Register!$C$11:$C$510,MATCH($H55,Register!$J$11:$J$510,0))&amp;"")</f>
        <v/>
      </c>
      <c r="D55" s="26" t="str">
        <f aca="false">IF($H55="","",IF(ISNUMBER(INDEX(Register!$D$11:$D$510,MATCH($H55,Register!$J$11:$J$510,0))),INDEX(Register!$D$11:$D$510,MATCH($H55,Register!$J$11:$J$510,0)),INDEX(Register!$D$11:$D$510,MATCH($H55,Register!$J$11:$J$510,0))&amp;""))</f>
        <v/>
      </c>
      <c r="E55" s="25" t="str">
        <f aca="false">IF($H55="","",IF(ISNUMBER(INDEX(Register!$E$11:$E$510,MATCH($H55,Register!$J$11:$J$510,0))),INDEX(Register!$E$11:$E$510,MATCH($H55,Register!$J$11:$J$510,0))&amp;" mo",INDEX(Register!$E$11:$E$510,MATCH($H55,Register!$J$11:$J$510,0))&amp;""))</f>
        <v/>
      </c>
      <c r="F55" s="26" t="str">
        <f aca="false">IF($H55="","",INDEX(Register!$F$11:$F$510,MATCH($H55,Register!$J$11:$J$510,0)))</f>
        <v/>
      </c>
      <c r="G55" s="27" t="str">
        <f aca="false">IF($H55="","",IF(INDEX(Register!$G$11:$G$510,MATCH($H55,Register!$J$11:$J$510,0))="Check details","Check details: "&amp;INDEX(Register!$I$11:$I$510,MATCH($H55,Register!$J$11:$J$510,0)),INDEX(Register!$G$11:$G$510,MATCH($H55,Register!$J$11:$J$510,0))))</f>
        <v/>
      </c>
      <c r="H55" s="28" t="str">
        <f aca="false">IF(49&gt;COUNT(Register!$J$11:$J$510),"",SMALL(Register!$J$11:$J$510,49))</f>
        <v/>
      </c>
    </row>
    <row r="56" customFormat="false" ht="15" hidden="false" customHeight="false" outlineLevel="0" collapsed="false">
      <c r="A56" s="25" t="str">
        <f aca="false">IF($H56="","",INDEX(Register!$A$11:$A$510,MATCH($H56,Register!$J$11:$J$510,0))&amp;"")</f>
        <v/>
      </c>
      <c r="B56" s="25" t="str">
        <f aca="false">IF($H56="","",INDEX(Register!$B$11:$B$510,MATCH($H56,Register!$J$11:$J$510,0))&amp;"")</f>
        <v/>
      </c>
      <c r="C56" s="25" t="str">
        <f aca="false">IF($H56="","",INDEX(Register!$C$11:$C$510,MATCH($H56,Register!$J$11:$J$510,0))&amp;"")</f>
        <v/>
      </c>
      <c r="D56" s="26" t="str">
        <f aca="false">IF($H56="","",IF(ISNUMBER(INDEX(Register!$D$11:$D$510,MATCH($H56,Register!$J$11:$J$510,0))),INDEX(Register!$D$11:$D$510,MATCH($H56,Register!$J$11:$J$510,0)),INDEX(Register!$D$11:$D$510,MATCH($H56,Register!$J$11:$J$510,0))&amp;""))</f>
        <v/>
      </c>
      <c r="E56" s="25" t="str">
        <f aca="false">IF($H56="","",IF(ISNUMBER(INDEX(Register!$E$11:$E$510,MATCH($H56,Register!$J$11:$J$510,0))),INDEX(Register!$E$11:$E$510,MATCH($H56,Register!$J$11:$J$510,0))&amp;" mo",INDEX(Register!$E$11:$E$510,MATCH($H56,Register!$J$11:$J$510,0))&amp;""))</f>
        <v/>
      </c>
      <c r="F56" s="26" t="str">
        <f aca="false">IF($H56="","",INDEX(Register!$F$11:$F$510,MATCH($H56,Register!$J$11:$J$510,0)))</f>
        <v/>
      </c>
      <c r="G56" s="27" t="str">
        <f aca="false">IF($H56="","",IF(INDEX(Register!$G$11:$G$510,MATCH($H56,Register!$J$11:$J$510,0))="Check details","Check details: "&amp;INDEX(Register!$I$11:$I$510,MATCH($H56,Register!$J$11:$J$510,0)),INDEX(Register!$G$11:$G$510,MATCH($H56,Register!$J$11:$J$510,0))))</f>
        <v/>
      </c>
      <c r="H56" s="28" t="str">
        <f aca="false">IF(50&gt;COUNT(Register!$J$11:$J$510),"",SMALL(Register!$J$11:$J$510,50))</f>
        <v/>
      </c>
    </row>
    <row r="57" customFormat="false" ht="15" hidden="false" customHeight="false" outlineLevel="0" collapsed="false">
      <c r="A57" s="25" t="str">
        <f aca="false">IF($H57="","",INDEX(Register!$A$11:$A$510,MATCH($H57,Register!$J$11:$J$510,0))&amp;"")</f>
        <v/>
      </c>
      <c r="B57" s="25" t="str">
        <f aca="false">IF($H57="","",INDEX(Register!$B$11:$B$510,MATCH($H57,Register!$J$11:$J$510,0))&amp;"")</f>
        <v/>
      </c>
      <c r="C57" s="25" t="str">
        <f aca="false">IF($H57="","",INDEX(Register!$C$11:$C$510,MATCH($H57,Register!$J$11:$J$510,0))&amp;"")</f>
        <v/>
      </c>
      <c r="D57" s="26" t="str">
        <f aca="false">IF($H57="","",IF(ISNUMBER(INDEX(Register!$D$11:$D$510,MATCH($H57,Register!$J$11:$J$510,0))),INDEX(Register!$D$11:$D$510,MATCH($H57,Register!$J$11:$J$510,0)),INDEX(Register!$D$11:$D$510,MATCH($H57,Register!$J$11:$J$510,0))&amp;""))</f>
        <v/>
      </c>
      <c r="E57" s="25" t="str">
        <f aca="false">IF($H57="","",IF(ISNUMBER(INDEX(Register!$E$11:$E$510,MATCH($H57,Register!$J$11:$J$510,0))),INDEX(Register!$E$11:$E$510,MATCH($H57,Register!$J$11:$J$510,0))&amp;" mo",INDEX(Register!$E$11:$E$510,MATCH($H57,Register!$J$11:$J$510,0))&amp;""))</f>
        <v/>
      </c>
      <c r="F57" s="26" t="str">
        <f aca="false">IF($H57="","",INDEX(Register!$F$11:$F$510,MATCH($H57,Register!$J$11:$J$510,0)))</f>
        <v/>
      </c>
      <c r="G57" s="27" t="str">
        <f aca="false">IF($H57="","",IF(INDEX(Register!$G$11:$G$510,MATCH($H57,Register!$J$11:$J$510,0))="Check details","Check details: "&amp;INDEX(Register!$I$11:$I$510,MATCH($H57,Register!$J$11:$J$510,0)),INDEX(Register!$G$11:$G$510,MATCH($H57,Register!$J$11:$J$510,0))))</f>
        <v/>
      </c>
      <c r="H57" s="28" t="str">
        <f aca="false">IF(51&gt;COUNT(Register!$J$11:$J$510),"",SMALL(Register!$J$11:$J$510,51))</f>
        <v/>
      </c>
    </row>
    <row r="58" customFormat="false" ht="15" hidden="false" customHeight="false" outlineLevel="0" collapsed="false">
      <c r="A58" s="25" t="str">
        <f aca="false">IF($H58="","",INDEX(Register!$A$11:$A$510,MATCH($H58,Register!$J$11:$J$510,0))&amp;"")</f>
        <v/>
      </c>
      <c r="B58" s="25" t="str">
        <f aca="false">IF($H58="","",INDEX(Register!$B$11:$B$510,MATCH($H58,Register!$J$11:$J$510,0))&amp;"")</f>
        <v/>
      </c>
      <c r="C58" s="25" t="str">
        <f aca="false">IF($H58="","",INDEX(Register!$C$11:$C$510,MATCH($H58,Register!$J$11:$J$510,0))&amp;"")</f>
        <v/>
      </c>
      <c r="D58" s="26" t="str">
        <f aca="false">IF($H58="","",IF(ISNUMBER(INDEX(Register!$D$11:$D$510,MATCH($H58,Register!$J$11:$J$510,0))),INDEX(Register!$D$11:$D$510,MATCH($H58,Register!$J$11:$J$510,0)),INDEX(Register!$D$11:$D$510,MATCH($H58,Register!$J$11:$J$510,0))&amp;""))</f>
        <v/>
      </c>
      <c r="E58" s="25" t="str">
        <f aca="false">IF($H58="","",IF(ISNUMBER(INDEX(Register!$E$11:$E$510,MATCH($H58,Register!$J$11:$J$510,0))),INDEX(Register!$E$11:$E$510,MATCH($H58,Register!$J$11:$J$510,0))&amp;" mo",INDEX(Register!$E$11:$E$510,MATCH($H58,Register!$J$11:$J$510,0))&amp;""))</f>
        <v/>
      </c>
      <c r="F58" s="26" t="str">
        <f aca="false">IF($H58="","",INDEX(Register!$F$11:$F$510,MATCH($H58,Register!$J$11:$J$510,0)))</f>
        <v/>
      </c>
      <c r="G58" s="27" t="str">
        <f aca="false">IF($H58="","",IF(INDEX(Register!$G$11:$G$510,MATCH($H58,Register!$J$11:$J$510,0))="Check details","Check details: "&amp;INDEX(Register!$I$11:$I$510,MATCH($H58,Register!$J$11:$J$510,0)),INDEX(Register!$G$11:$G$510,MATCH($H58,Register!$J$11:$J$510,0))))</f>
        <v/>
      </c>
      <c r="H58" s="28" t="str">
        <f aca="false">IF(52&gt;COUNT(Register!$J$11:$J$510),"",SMALL(Register!$J$11:$J$510,52))</f>
        <v/>
      </c>
    </row>
    <row r="59" customFormat="false" ht="15" hidden="false" customHeight="false" outlineLevel="0" collapsed="false">
      <c r="A59" s="25" t="str">
        <f aca="false">IF($H59="","",INDEX(Register!$A$11:$A$510,MATCH($H59,Register!$J$11:$J$510,0))&amp;"")</f>
        <v/>
      </c>
      <c r="B59" s="25" t="str">
        <f aca="false">IF($H59="","",INDEX(Register!$B$11:$B$510,MATCH($H59,Register!$J$11:$J$510,0))&amp;"")</f>
        <v/>
      </c>
      <c r="C59" s="25" t="str">
        <f aca="false">IF($H59="","",INDEX(Register!$C$11:$C$510,MATCH($H59,Register!$J$11:$J$510,0))&amp;"")</f>
        <v/>
      </c>
      <c r="D59" s="26" t="str">
        <f aca="false">IF($H59="","",IF(ISNUMBER(INDEX(Register!$D$11:$D$510,MATCH($H59,Register!$J$11:$J$510,0))),INDEX(Register!$D$11:$D$510,MATCH($H59,Register!$J$11:$J$510,0)),INDEX(Register!$D$11:$D$510,MATCH($H59,Register!$J$11:$J$510,0))&amp;""))</f>
        <v/>
      </c>
      <c r="E59" s="25" t="str">
        <f aca="false">IF($H59="","",IF(ISNUMBER(INDEX(Register!$E$11:$E$510,MATCH($H59,Register!$J$11:$J$510,0))),INDEX(Register!$E$11:$E$510,MATCH($H59,Register!$J$11:$J$510,0))&amp;" mo",INDEX(Register!$E$11:$E$510,MATCH($H59,Register!$J$11:$J$510,0))&amp;""))</f>
        <v/>
      </c>
      <c r="F59" s="26" t="str">
        <f aca="false">IF($H59="","",INDEX(Register!$F$11:$F$510,MATCH($H59,Register!$J$11:$J$510,0)))</f>
        <v/>
      </c>
      <c r="G59" s="27" t="str">
        <f aca="false">IF($H59="","",IF(INDEX(Register!$G$11:$G$510,MATCH($H59,Register!$J$11:$J$510,0))="Check details","Check details: "&amp;INDEX(Register!$I$11:$I$510,MATCH($H59,Register!$J$11:$J$510,0)),INDEX(Register!$G$11:$G$510,MATCH($H59,Register!$J$11:$J$510,0))))</f>
        <v/>
      </c>
      <c r="H59" s="28" t="str">
        <f aca="false">IF(53&gt;COUNT(Register!$J$11:$J$510),"",SMALL(Register!$J$11:$J$510,53))</f>
        <v/>
      </c>
    </row>
    <row r="60" customFormat="false" ht="15" hidden="false" customHeight="false" outlineLevel="0" collapsed="false">
      <c r="A60" s="25" t="str">
        <f aca="false">IF($H60="","",INDEX(Register!$A$11:$A$510,MATCH($H60,Register!$J$11:$J$510,0))&amp;"")</f>
        <v/>
      </c>
      <c r="B60" s="25" t="str">
        <f aca="false">IF($H60="","",INDEX(Register!$B$11:$B$510,MATCH($H60,Register!$J$11:$J$510,0))&amp;"")</f>
        <v/>
      </c>
      <c r="C60" s="25" t="str">
        <f aca="false">IF($H60="","",INDEX(Register!$C$11:$C$510,MATCH($H60,Register!$J$11:$J$510,0))&amp;"")</f>
        <v/>
      </c>
      <c r="D60" s="26" t="str">
        <f aca="false">IF($H60="","",IF(ISNUMBER(INDEX(Register!$D$11:$D$510,MATCH($H60,Register!$J$11:$J$510,0))),INDEX(Register!$D$11:$D$510,MATCH($H60,Register!$J$11:$J$510,0)),INDEX(Register!$D$11:$D$510,MATCH($H60,Register!$J$11:$J$510,0))&amp;""))</f>
        <v/>
      </c>
      <c r="E60" s="25" t="str">
        <f aca="false">IF($H60="","",IF(ISNUMBER(INDEX(Register!$E$11:$E$510,MATCH($H60,Register!$J$11:$J$510,0))),INDEX(Register!$E$11:$E$510,MATCH($H60,Register!$J$11:$J$510,0))&amp;" mo",INDEX(Register!$E$11:$E$510,MATCH($H60,Register!$J$11:$J$510,0))&amp;""))</f>
        <v/>
      </c>
      <c r="F60" s="26" t="str">
        <f aca="false">IF($H60="","",INDEX(Register!$F$11:$F$510,MATCH($H60,Register!$J$11:$J$510,0)))</f>
        <v/>
      </c>
      <c r="G60" s="27" t="str">
        <f aca="false">IF($H60="","",IF(INDEX(Register!$G$11:$G$510,MATCH($H60,Register!$J$11:$J$510,0))="Check details","Check details: "&amp;INDEX(Register!$I$11:$I$510,MATCH($H60,Register!$J$11:$J$510,0)),INDEX(Register!$G$11:$G$510,MATCH($H60,Register!$J$11:$J$510,0))))</f>
        <v/>
      </c>
      <c r="H60" s="28" t="str">
        <f aca="false">IF(54&gt;COUNT(Register!$J$11:$J$510),"",SMALL(Register!$J$11:$J$510,54))</f>
        <v/>
      </c>
    </row>
    <row r="61" customFormat="false" ht="15" hidden="false" customHeight="false" outlineLevel="0" collapsed="false">
      <c r="A61" s="25" t="str">
        <f aca="false">IF($H61="","",INDEX(Register!$A$11:$A$510,MATCH($H61,Register!$J$11:$J$510,0))&amp;"")</f>
        <v/>
      </c>
      <c r="B61" s="25" t="str">
        <f aca="false">IF($H61="","",INDEX(Register!$B$11:$B$510,MATCH($H61,Register!$J$11:$J$510,0))&amp;"")</f>
        <v/>
      </c>
      <c r="C61" s="25" t="str">
        <f aca="false">IF($H61="","",INDEX(Register!$C$11:$C$510,MATCH($H61,Register!$J$11:$J$510,0))&amp;"")</f>
        <v/>
      </c>
      <c r="D61" s="26" t="str">
        <f aca="false">IF($H61="","",IF(ISNUMBER(INDEX(Register!$D$11:$D$510,MATCH($H61,Register!$J$11:$J$510,0))),INDEX(Register!$D$11:$D$510,MATCH($H61,Register!$J$11:$J$510,0)),INDEX(Register!$D$11:$D$510,MATCH($H61,Register!$J$11:$J$510,0))&amp;""))</f>
        <v/>
      </c>
      <c r="E61" s="25" t="str">
        <f aca="false">IF($H61="","",IF(ISNUMBER(INDEX(Register!$E$11:$E$510,MATCH($H61,Register!$J$11:$J$510,0))),INDEX(Register!$E$11:$E$510,MATCH($H61,Register!$J$11:$J$510,0))&amp;" mo",INDEX(Register!$E$11:$E$510,MATCH($H61,Register!$J$11:$J$510,0))&amp;""))</f>
        <v/>
      </c>
      <c r="F61" s="26" t="str">
        <f aca="false">IF($H61="","",INDEX(Register!$F$11:$F$510,MATCH($H61,Register!$J$11:$J$510,0)))</f>
        <v/>
      </c>
      <c r="G61" s="27" t="str">
        <f aca="false">IF($H61="","",IF(INDEX(Register!$G$11:$G$510,MATCH($H61,Register!$J$11:$J$510,0))="Check details","Check details: "&amp;INDEX(Register!$I$11:$I$510,MATCH($H61,Register!$J$11:$J$510,0)),INDEX(Register!$G$11:$G$510,MATCH($H61,Register!$J$11:$J$510,0))))</f>
        <v/>
      </c>
      <c r="H61" s="28" t="str">
        <f aca="false">IF(55&gt;COUNT(Register!$J$11:$J$510),"",SMALL(Register!$J$11:$J$510,55))</f>
        <v/>
      </c>
    </row>
    <row r="62" customFormat="false" ht="15" hidden="false" customHeight="false" outlineLevel="0" collapsed="false">
      <c r="A62" s="25" t="str">
        <f aca="false">IF($H62="","",INDEX(Register!$A$11:$A$510,MATCH($H62,Register!$J$11:$J$510,0))&amp;"")</f>
        <v/>
      </c>
      <c r="B62" s="25" t="str">
        <f aca="false">IF($H62="","",INDEX(Register!$B$11:$B$510,MATCH($H62,Register!$J$11:$J$510,0))&amp;"")</f>
        <v/>
      </c>
      <c r="C62" s="25" t="str">
        <f aca="false">IF($H62="","",INDEX(Register!$C$11:$C$510,MATCH($H62,Register!$J$11:$J$510,0))&amp;"")</f>
        <v/>
      </c>
      <c r="D62" s="26" t="str">
        <f aca="false">IF($H62="","",IF(ISNUMBER(INDEX(Register!$D$11:$D$510,MATCH($H62,Register!$J$11:$J$510,0))),INDEX(Register!$D$11:$D$510,MATCH($H62,Register!$J$11:$J$510,0)),INDEX(Register!$D$11:$D$510,MATCH($H62,Register!$J$11:$J$510,0))&amp;""))</f>
        <v/>
      </c>
      <c r="E62" s="25" t="str">
        <f aca="false">IF($H62="","",IF(ISNUMBER(INDEX(Register!$E$11:$E$510,MATCH($H62,Register!$J$11:$J$510,0))),INDEX(Register!$E$11:$E$510,MATCH($H62,Register!$J$11:$J$510,0))&amp;" mo",INDEX(Register!$E$11:$E$510,MATCH($H62,Register!$J$11:$J$510,0))&amp;""))</f>
        <v/>
      </c>
      <c r="F62" s="26" t="str">
        <f aca="false">IF($H62="","",INDEX(Register!$F$11:$F$510,MATCH($H62,Register!$J$11:$J$510,0)))</f>
        <v/>
      </c>
      <c r="G62" s="27" t="str">
        <f aca="false">IF($H62="","",IF(INDEX(Register!$G$11:$G$510,MATCH($H62,Register!$J$11:$J$510,0))="Check details","Check details: "&amp;INDEX(Register!$I$11:$I$510,MATCH($H62,Register!$J$11:$J$510,0)),INDEX(Register!$G$11:$G$510,MATCH($H62,Register!$J$11:$J$510,0))))</f>
        <v/>
      </c>
      <c r="H62" s="28" t="str">
        <f aca="false">IF(56&gt;COUNT(Register!$J$11:$J$510),"",SMALL(Register!$J$11:$J$510,56))</f>
        <v/>
      </c>
    </row>
    <row r="63" customFormat="false" ht="15" hidden="false" customHeight="false" outlineLevel="0" collapsed="false">
      <c r="A63" s="25" t="str">
        <f aca="false">IF($H63="","",INDEX(Register!$A$11:$A$510,MATCH($H63,Register!$J$11:$J$510,0))&amp;"")</f>
        <v/>
      </c>
      <c r="B63" s="25" t="str">
        <f aca="false">IF($H63="","",INDEX(Register!$B$11:$B$510,MATCH($H63,Register!$J$11:$J$510,0))&amp;"")</f>
        <v/>
      </c>
      <c r="C63" s="25" t="str">
        <f aca="false">IF($H63="","",INDEX(Register!$C$11:$C$510,MATCH($H63,Register!$J$11:$J$510,0))&amp;"")</f>
        <v/>
      </c>
      <c r="D63" s="26" t="str">
        <f aca="false">IF($H63="","",IF(ISNUMBER(INDEX(Register!$D$11:$D$510,MATCH($H63,Register!$J$11:$J$510,0))),INDEX(Register!$D$11:$D$510,MATCH($H63,Register!$J$11:$J$510,0)),INDEX(Register!$D$11:$D$510,MATCH($H63,Register!$J$11:$J$510,0))&amp;""))</f>
        <v/>
      </c>
      <c r="E63" s="25" t="str">
        <f aca="false">IF($H63="","",IF(ISNUMBER(INDEX(Register!$E$11:$E$510,MATCH($H63,Register!$J$11:$J$510,0))),INDEX(Register!$E$11:$E$510,MATCH($H63,Register!$J$11:$J$510,0))&amp;" mo",INDEX(Register!$E$11:$E$510,MATCH($H63,Register!$J$11:$J$510,0))&amp;""))</f>
        <v/>
      </c>
      <c r="F63" s="26" t="str">
        <f aca="false">IF($H63="","",INDEX(Register!$F$11:$F$510,MATCH($H63,Register!$J$11:$J$510,0)))</f>
        <v/>
      </c>
      <c r="G63" s="27" t="str">
        <f aca="false">IF($H63="","",IF(INDEX(Register!$G$11:$G$510,MATCH($H63,Register!$J$11:$J$510,0))="Check details","Check details: "&amp;INDEX(Register!$I$11:$I$510,MATCH($H63,Register!$J$11:$J$510,0)),INDEX(Register!$G$11:$G$510,MATCH($H63,Register!$J$11:$J$510,0))))</f>
        <v/>
      </c>
      <c r="H63" s="28" t="str">
        <f aca="false">IF(57&gt;COUNT(Register!$J$11:$J$510),"",SMALL(Register!$J$11:$J$510,57))</f>
        <v/>
      </c>
    </row>
    <row r="64" customFormat="false" ht="15" hidden="false" customHeight="false" outlineLevel="0" collapsed="false">
      <c r="A64" s="25" t="str">
        <f aca="false">IF($H64="","",INDEX(Register!$A$11:$A$510,MATCH($H64,Register!$J$11:$J$510,0))&amp;"")</f>
        <v/>
      </c>
      <c r="B64" s="25" t="str">
        <f aca="false">IF($H64="","",INDEX(Register!$B$11:$B$510,MATCH($H64,Register!$J$11:$J$510,0))&amp;"")</f>
        <v/>
      </c>
      <c r="C64" s="25" t="str">
        <f aca="false">IF($H64="","",INDEX(Register!$C$11:$C$510,MATCH($H64,Register!$J$11:$J$510,0))&amp;"")</f>
        <v/>
      </c>
      <c r="D64" s="26" t="str">
        <f aca="false">IF($H64="","",IF(ISNUMBER(INDEX(Register!$D$11:$D$510,MATCH($H64,Register!$J$11:$J$510,0))),INDEX(Register!$D$11:$D$510,MATCH($H64,Register!$J$11:$J$510,0)),INDEX(Register!$D$11:$D$510,MATCH($H64,Register!$J$11:$J$510,0))&amp;""))</f>
        <v/>
      </c>
      <c r="E64" s="25" t="str">
        <f aca="false">IF($H64="","",IF(ISNUMBER(INDEX(Register!$E$11:$E$510,MATCH($H64,Register!$J$11:$J$510,0))),INDEX(Register!$E$11:$E$510,MATCH($H64,Register!$J$11:$J$510,0))&amp;" mo",INDEX(Register!$E$11:$E$510,MATCH($H64,Register!$J$11:$J$510,0))&amp;""))</f>
        <v/>
      </c>
      <c r="F64" s="26" t="str">
        <f aca="false">IF($H64="","",INDEX(Register!$F$11:$F$510,MATCH($H64,Register!$J$11:$J$510,0)))</f>
        <v/>
      </c>
      <c r="G64" s="27" t="str">
        <f aca="false">IF($H64="","",IF(INDEX(Register!$G$11:$G$510,MATCH($H64,Register!$J$11:$J$510,0))="Check details","Check details: "&amp;INDEX(Register!$I$11:$I$510,MATCH($H64,Register!$J$11:$J$510,0)),INDEX(Register!$G$11:$G$510,MATCH($H64,Register!$J$11:$J$510,0))))</f>
        <v/>
      </c>
      <c r="H64" s="28" t="str">
        <f aca="false">IF(58&gt;COUNT(Register!$J$11:$J$510),"",SMALL(Register!$J$11:$J$510,58))</f>
        <v/>
      </c>
    </row>
    <row r="65" customFormat="false" ht="15" hidden="false" customHeight="false" outlineLevel="0" collapsed="false">
      <c r="A65" s="25" t="str">
        <f aca="false">IF($H65="","",INDEX(Register!$A$11:$A$510,MATCH($H65,Register!$J$11:$J$510,0))&amp;"")</f>
        <v/>
      </c>
      <c r="B65" s="25" t="str">
        <f aca="false">IF($H65="","",INDEX(Register!$B$11:$B$510,MATCH($H65,Register!$J$11:$J$510,0))&amp;"")</f>
        <v/>
      </c>
      <c r="C65" s="25" t="str">
        <f aca="false">IF($H65="","",INDEX(Register!$C$11:$C$510,MATCH($H65,Register!$J$11:$J$510,0))&amp;"")</f>
        <v/>
      </c>
      <c r="D65" s="26" t="str">
        <f aca="false">IF($H65="","",IF(ISNUMBER(INDEX(Register!$D$11:$D$510,MATCH($H65,Register!$J$11:$J$510,0))),INDEX(Register!$D$11:$D$510,MATCH($H65,Register!$J$11:$J$510,0)),INDEX(Register!$D$11:$D$510,MATCH($H65,Register!$J$11:$J$510,0))&amp;""))</f>
        <v/>
      </c>
      <c r="E65" s="25" t="str">
        <f aca="false">IF($H65="","",IF(ISNUMBER(INDEX(Register!$E$11:$E$510,MATCH($H65,Register!$J$11:$J$510,0))),INDEX(Register!$E$11:$E$510,MATCH($H65,Register!$J$11:$J$510,0))&amp;" mo",INDEX(Register!$E$11:$E$510,MATCH($H65,Register!$J$11:$J$510,0))&amp;""))</f>
        <v/>
      </c>
      <c r="F65" s="26" t="str">
        <f aca="false">IF($H65="","",INDEX(Register!$F$11:$F$510,MATCH($H65,Register!$J$11:$J$510,0)))</f>
        <v/>
      </c>
      <c r="G65" s="27" t="str">
        <f aca="false">IF($H65="","",IF(INDEX(Register!$G$11:$G$510,MATCH($H65,Register!$J$11:$J$510,0))="Check details","Check details: "&amp;INDEX(Register!$I$11:$I$510,MATCH($H65,Register!$J$11:$J$510,0)),INDEX(Register!$G$11:$G$510,MATCH($H65,Register!$J$11:$J$510,0))))</f>
        <v/>
      </c>
      <c r="H65" s="28" t="str">
        <f aca="false">IF(59&gt;COUNT(Register!$J$11:$J$510),"",SMALL(Register!$J$11:$J$510,59))</f>
        <v/>
      </c>
    </row>
    <row r="66" customFormat="false" ht="15" hidden="false" customHeight="false" outlineLevel="0" collapsed="false">
      <c r="A66" s="25" t="str">
        <f aca="false">IF($H66="","",INDEX(Register!$A$11:$A$510,MATCH($H66,Register!$J$11:$J$510,0))&amp;"")</f>
        <v/>
      </c>
      <c r="B66" s="25" t="str">
        <f aca="false">IF($H66="","",INDEX(Register!$B$11:$B$510,MATCH($H66,Register!$J$11:$J$510,0))&amp;"")</f>
        <v/>
      </c>
      <c r="C66" s="25" t="str">
        <f aca="false">IF($H66="","",INDEX(Register!$C$11:$C$510,MATCH($H66,Register!$J$11:$J$510,0))&amp;"")</f>
        <v/>
      </c>
      <c r="D66" s="26" t="str">
        <f aca="false">IF($H66="","",IF(ISNUMBER(INDEX(Register!$D$11:$D$510,MATCH($H66,Register!$J$11:$J$510,0))),INDEX(Register!$D$11:$D$510,MATCH($H66,Register!$J$11:$J$510,0)),INDEX(Register!$D$11:$D$510,MATCH($H66,Register!$J$11:$J$510,0))&amp;""))</f>
        <v/>
      </c>
      <c r="E66" s="25" t="str">
        <f aca="false">IF($H66="","",IF(ISNUMBER(INDEX(Register!$E$11:$E$510,MATCH($H66,Register!$J$11:$J$510,0))),INDEX(Register!$E$11:$E$510,MATCH($H66,Register!$J$11:$J$510,0))&amp;" mo",INDEX(Register!$E$11:$E$510,MATCH($H66,Register!$J$11:$J$510,0))&amp;""))</f>
        <v/>
      </c>
      <c r="F66" s="26" t="str">
        <f aca="false">IF($H66="","",INDEX(Register!$F$11:$F$510,MATCH($H66,Register!$J$11:$J$510,0)))</f>
        <v/>
      </c>
      <c r="G66" s="27" t="str">
        <f aca="false">IF($H66="","",IF(INDEX(Register!$G$11:$G$510,MATCH($H66,Register!$J$11:$J$510,0))="Check details","Check details: "&amp;INDEX(Register!$I$11:$I$510,MATCH($H66,Register!$J$11:$J$510,0)),INDEX(Register!$G$11:$G$510,MATCH($H66,Register!$J$11:$J$510,0))))</f>
        <v/>
      </c>
      <c r="H66" s="28" t="str">
        <f aca="false">IF(60&gt;COUNT(Register!$J$11:$J$510),"",SMALL(Register!$J$11:$J$510,60))</f>
        <v/>
      </c>
    </row>
    <row r="67" customFormat="false" ht="15" hidden="false" customHeight="false" outlineLevel="0" collapsed="false">
      <c r="A67" s="25" t="str">
        <f aca="false">IF($H67="","",INDEX(Register!$A$11:$A$510,MATCH($H67,Register!$J$11:$J$510,0))&amp;"")</f>
        <v/>
      </c>
      <c r="B67" s="25" t="str">
        <f aca="false">IF($H67="","",INDEX(Register!$B$11:$B$510,MATCH($H67,Register!$J$11:$J$510,0))&amp;"")</f>
        <v/>
      </c>
      <c r="C67" s="25" t="str">
        <f aca="false">IF($H67="","",INDEX(Register!$C$11:$C$510,MATCH($H67,Register!$J$11:$J$510,0))&amp;"")</f>
        <v/>
      </c>
      <c r="D67" s="26" t="str">
        <f aca="false">IF($H67="","",IF(ISNUMBER(INDEX(Register!$D$11:$D$510,MATCH($H67,Register!$J$11:$J$510,0))),INDEX(Register!$D$11:$D$510,MATCH($H67,Register!$J$11:$J$510,0)),INDEX(Register!$D$11:$D$510,MATCH($H67,Register!$J$11:$J$510,0))&amp;""))</f>
        <v/>
      </c>
      <c r="E67" s="25" t="str">
        <f aca="false">IF($H67="","",IF(ISNUMBER(INDEX(Register!$E$11:$E$510,MATCH($H67,Register!$J$11:$J$510,0))),INDEX(Register!$E$11:$E$510,MATCH($H67,Register!$J$11:$J$510,0))&amp;" mo",INDEX(Register!$E$11:$E$510,MATCH($H67,Register!$J$11:$J$510,0))&amp;""))</f>
        <v/>
      </c>
      <c r="F67" s="26" t="str">
        <f aca="false">IF($H67="","",INDEX(Register!$F$11:$F$510,MATCH($H67,Register!$J$11:$J$510,0)))</f>
        <v/>
      </c>
      <c r="G67" s="27" t="str">
        <f aca="false">IF($H67="","",IF(INDEX(Register!$G$11:$G$510,MATCH($H67,Register!$J$11:$J$510,0))="Check details","Check details: "&amp;INDEX(Register!$I$11:$I$510,MATCH($H67,Register!$J$11:$J$510,0)),INDEX(Register!$G$11:$G$510,MATCH($H67,Register!$J$11:$J$510,0))))</f>
        <v/>
      </c>
      <c r="H67" s="28" t="str">
        <f aca="false">IF(61&gt;COUNT(Register!$J$11:$J$510),"",SMALL(Register!$J$11:$J$510,61))</f>
        <v/>
      </c>
    </row>
    <row r="68" customFormat="false" ht="15" hidden="false" customHeight="false" outlineLevel="0" collapsed="false">
      <c r="A68" s="25" t="str">
        <f aca="false">IF($H68="","",INDEX(Register!$A$11:$A$510,MATCH($H68,Register!$J$11:$J$510,0))&amp;"")</f>
        <v/>
      </c>
      <c r="B68" s="25" t="str">
        <f aca="false">IF($H68="","",INDEX(Register!$B$11:$B$510,MATCH($H68,Register!$J$11:$J$510,0))&amp;"")</f>
        <v/>
      </c>
      <c r="C68" s="25" t="str">
        <f aca="false">IF($H68="","",INDEX(Register!$C$11:$C$510,MATCH($H68,Register!$J$11:$J$510,0))&amp;"")</f>
        <v/>
      </c>
      <c r="D68" s="26" t="str">
        <f aca="false">IF($H68="","",IF(ISNUMBER(INDEX(Register!$D$11:$D$510,MATCH($H68,Register!$J$11:$J$510,0))),INDEX(Register!$D$11:$D$510,MATCH($H68,Register!$J$11:$J$510,0)),INDEX(Register!$D$11:$D$510,MATCH($H68,Register!$J$11:$J$510,0))&amp;""))</f>
        <v/>
      </c>
      <c r="E68" s="25" t="str">
        <f aca="false">IF($H68="","",IF(ISNUMBER(INDEX(Register!$E$11:$E$510,MATCH($H68,Register!$J$11:$J$510,0))),INDEX(Register!$E$11:$E$510,MATCH($H68,Register!$J$11:$J$510,0))&amp;" mo",INDEX(Register!$E$11:$E$510,MATCH($H68,Register!$J$11:$J$510,0))&amp;""))</f>
        <v/>
      </c>
      <c r="F68" s="26" t="str">
        <f aca="false">IF($H68="","",INDEX(Register!$F$11:$F$510,MATCH($H68,Register!$J$11:$J$510,0)))</f>
        <v/>
      </c>
      <c r="G68" s="27" t="str">
        <f aca="false">IF($H68="","",IF(INDEX(Register!$G$11:$G$510,MATCH($H68,Register!$J$11:$J$510,0))="Check details","Check details: "&amp;INDEX(Register!$I$11:$I$510,MATCH($H68,Register!$J$11:$J$510,0)),INDEX(Register!$G$11:$G$510,MATCH($H68,Register!$J$11:$J$510,0))))</f>
        <v/>
      </c>
      <c r="H68" s="28" t="str">
        <f aca="false">IF(62&gt;COUNT(Register!$J$11:$J$510),"",SMALL(Register!$J$11:$J$510,62))</f>
        <v/>
      </c>
    </row>
    <row r="69" customFormat="false" ht="15" hidden="false" customHeight="false" outlineLevel="0" collapsed="false">
      <c r="A69" s="25" t="str">
        <f aca="false">IF($H69="","",INDEX(Register!$A$11:$A$510,MATCH($H69,Register!$J$11:$J$510,0))&amp;"")</f>
        <v/>
      </c>
      <c r="B69" s="25" t="str">
        <f aca="false">IF($H69="","",INDEX(Register!$B$11:$B$510,MATCH($H69,Register!$J$11:$J$510,0))&amp;"")</f>
        <v/>
      </c>
      <c r="C69" s="25" t="str">
        <f aca="false">IF($H69="","",INDEX(Register!$C$11:$C$510,MATCH($H69,Register!$J$11:$J$510,0))&amp;"")</f>
        <v/>
      </c>
      <c r="D69" s="26" t="str">
        <f aca="false">IF($H69="","",IF(ISNUMBER(INDEX(Register!$D$11:$D$510,MATCH($H69,Register!$J$11:$J$510,0))),INDEX(Register!$D$11:$D$510,MATCH($H69,Register!$J$11:$J$510,0)),INDEX(Register!$D$11:$D$510,MATCH($H69,Register!$J$11:$J$510,0))&amp;""))</f>
        <v/>
      </c>
      <c r="E69" s="25" t="str">
        <f aca="false">IF($H69="","",IF(ISNUMBER(INDEX(Register!$E$11:$E$510,MATCH($H69,Register!$J$11:$J$510,0))),INDEX(Register!$E$11:$E$510,MATCH($H69,Register!$J$11:$J$510,0))&amp;" mo",INDEX(Register!$E$11:$E$510,MATCH($H69,Register!$J$11:$J$510,0))&amp;""))</f>
        <v/>
      </c>
      <c r="F69" s="26" t="str">
        <f aca="false">IF($H69="","",INDEX(Register!$F$11:$F$510,MATCH($H69,Register!$J$11:$J$510,0)))</f>
        <v/>
      </c>
      <c r="G69" s="27" t="str">
        <f aca="false">IF($H69="","",IF(INDEX(Register!$G$11:$G$510,MATCH($H69,Register!$J$11:$J$510,0))="Check details","Check details: "&amp;INDEX(Register!$I$11:$I$510,MATCH($H69,Register!$J$11:$J$510,0)),INDEX(Register!$G$11:$G$510,MATCH($H69,Register!$J$11:$J$510,0))))</f>
        <v/>
      </c>
      <c r="H69" s="28" t="str">
        <f aca="false">IF(63&gt;COUNT(Register!$J$11:$J$510),"",SMALL(Register!$J$11:$J$510,63))</f>
        <v/>
      </c>
    </row>
    <row r="70" customFormat="false" ht="15" hidden="false" customHeight="false" outlineLevel="0" collapsed="false">
      <c r="A70" s="25" t="str">
        <f aca="false">IF($H70="","",INDEX(Register!$A$11:$A$510,MATCH($H70,Register!$J$11:$J$510,0))&amp;"")</f>
        <v/>
      </c>
      <c r="B70" s="25" t="str">
        <f aca="false">IF($H70="","",INDEX(Register!$B$11:$B$510,MATCH($H70,Register!$J$11:$J$510,0))&amp;"")</f>
        <v/>
      </c>
      <c r="C70" s="25" t="str">
        <f aca="false">IF($H70="","",INDEX(Register!$C$11:$C$510,MATCH($H70,Register!$J$11:$J$510,0))&amp;"")</f>
        <v/>
      </c>
      <c r="D70" s="26" t="str">
        <f aca="false">IF($H70="","",IF(ISNUMBER(INDEX(Register!$D$11:$D$510,MATCH($H70,Register!$J$11:$J$510,0))),INDEX(Register!$D$11:$D$510,MATCH($H70,Register!$J$11:$J$510,0)),INDEX(Register!$D$11:$D$510,MATCH($H70,Register!$J$11:$J$510,0))&amp;""))</f>
        <v/>
      </c>
      <c r="E70" s="25" t="str">
        <f aca="false">IF($H70="","",IF(ISNUMBER(INDEX(Register!$E$11:$E$510,MATCH($H70,Register!$J$11:$J$510,0))),INDEX(Register!$E$11:$E$510,MATCH($H70,Register!$J$11:$J$510,0))&amp;" mo",INDEX(Register!$E$11:$E$510,MATCH($H70,Register!$J$11:$J$510,0))&amp;""))</f>
        <v/>
      </c>
      <c r="F70" s="26" t="str">
        <f aca="false">IF($H70="","",INDEX(Register!$F$11:$F$510,MATCH($H70,Register!$J$11:$J$510,0)))</f>
        <v/>
      </c>
      <c r="G70" s="27" t="str">
        <f aca="false">IF($H70="","",IF(INDEX(Register!$G$11:$G$510,MATCH($H70,Register!$J$11:$J$510,0))="Check details","Check details: "&amp;INDEX(Register!$I$11:$I$510,MATCH($H70,Register!$J$11:$J$510,0)),INDEX(Register!$G$11:$G$510,MATCH($H70,Register!$J$11:$J$510,0))))</f>
        <v/>
      </c>
      <c r="H70" s="28" t="str">
        <f aca="false">IF(64&gt;COUNT(Register!$J$11:$J$510),"",SMALL(Register!$J$11:$J$510,64))</f>
        <v/>
      </c>
    </row>
    <row r="71" customFormat="false" ht="15" hidden="false" customHeight="false" outlineLevel="0" collapsed="false">
      <c r="A71" s="25" t="str">
        <f aca="false">IF($H71="","",INDEX(Register!$A$11:$A$510,MATCH($H71,Register!$J$11:$J$510,0))&amp;"")</f>
        <v/>
      </c>
      <c r="B71" s="25" t="str">
        <f aca="false">IF($H71="","",INDEX(Register!$B$11:$B$510,MATCH($H71,Register!$J$11:$J$510,0))&amp;"")</f>
        <v/>
      </c>
      <c r="C71" s="25" t="str">
        <f aca="false">IF($H71="","",INDEX(Register!$C$11:$C$510,MATCH($H71,Register!$J$11:$J$510,0))&amp;"")</f>
        <v/>
      </c>
      <c r="D71" s="26" t="str">
        <f aca="false">IF($H71="","",IF(ISNUMBER(INDEX(Register!$D$11:$D$510,MATCH($H71,Register!$J$11:$J$510,0))),INDEX(Register!$D$11:$D$510,MATCH($H71,Register!$J$11:$J$510,0)),INDEX(Register!$D$11:$D$510,MATCH($H71,Register!$J$11:$J$510,0))&amp;""))</f>
        <v/>
      </c>
      <c r="E71" s="25" t="str">
        <f aca="false">IF($H71="","",IF(ISNUMBER(INDEX(Register!$E$11:$E$510,MATCH($H71,Register!$J$11:$J$510,0))),INDEX(Register!$E$11:$E$510,MATCH($H71,Register!$J$11:$J$510,0))&amp;" mo",INDEX(Register!$E$11:$E$510,MATCH($H71,Register!$J$11:$J$510,0))&amp;""))</f>
        <v/>
      </c>
      <c r="F71" s="26" t="str">
        <f aca="false">IF($H71="","",INDEX(Register!$F$11:$F$510,MATCH($H71,Register!$J$11:$J$510,0)))</f>
        <v/>
      </c>
      <c r="G71" s="27" t="str">
        <f aca="false">IF($H71="","",IF(INDEX(Register!$G$11:$G$510,MATCH($H71,Register!$J$11:$J$510,0))="Check details","Check details: "&amp;INDEX(Register!$I$11:$I$510,MATCH($H71,Register!$J$11:$J$510,0)),INDEX(Register!$G$11:$G$510,MATCH($H71,Register!$J$11:$J$510,0))))</f>
        <v/>
      </c>
      <c r="H71" s="28" t="str">
        <f aca="false">IF(65&gt;COUNT(Register!$J$11:$J$510),"",SMALL(Register!$J$11:$J$510,65))</f>
        <v/>
      </c>
    </row>
    <row r="72" customFormat="false" ht="15" hidden="false" customHeight="false" outlineLevel="0" collapsed="false">
      <c r="A72" s="25" t="str">
        <f aca="false">IF($H72="","",INDEX(Register!$A$11:$A$510,MATCH($H72,Register!$J$11:$J$510,0))&amp;"")</f>
        <v/>
      </c>
      <c r="B72" s="25" t="str">
        <f aca="false">IF($H72="","",INDEX(Register!$B$11:$B$510,MATCH($H72,Register!$J$11:$J$510,0))&amp;"")</f>
        <v/>
      </c>
      <c r="C72" s="25" t="str">
        <f aca="false">IF($H72="","",INDEX(Register!$C$11:$C$510,MATCH($H72,Register!$J$11:$J$510,0))&amp;"")</f>
        <v/>
      </c>
      <c r="D72" s="26" t="str">
        <f aca="false">IF($H72="","",IF(ISNUMBER(INDEX(Register!$D$11:$D$510,MATCH($H72,Register!$J$11:$J$510,0))),INDEX(Register!$D$11:$D$510,MATCH($H72,Register!$J$11:$J$510,0)),INDEX(Register!$D$11:$D$510,MATCH($H72,Register!$J$11:$J$510,0))&amp;""))</f>
        <v/>
      </c>
      <c r="E72" s="25" t="str">
        <f aca="false">IF($H72="","",IF(ISNUMBER(INDEX(Register!$E$11:$E$510,MATCH($H72,Register!$J$11:$J$510,0))),INDEX(Register!$E$11:$E$510,MATCH($H72,Register!$J$11:$J$510,0))&amp;" mo",INDEX(Register!$E$11:$E$510,MATCH($H72,Register!$J$11:$J$510,0))&amp;""))</f>
        <v/>
      </c>
      <c r="F72" s="26" t="str">
        <f aca="false">IF($H72="","",INDEX(Register!$F$11:$F$510,MATCH($H72,Register!$J$11:$J$510,0)))</f>
        <v/>
      </c>
      <c r="G72" s="27" t="str">
        <f aca="false">IF($H72="","",IF(INDEX(Register!$G$11:$G$510,MATCH($H72,Register!$J$11:$J$510,0))="Check details","Check details: "&amp;INDEX(Register!$I$11:$I$510,MATCH($H72,Register!$J$11:$J$510,0)),INDEX(Register!$G$11:$G$510,MATCH($H72,Register!$J$11:$J$510,0))))</f>
        <v/>
      </c>
      <c r="H72" s="28" t="str">
        <f aca="false">IF(66&gt;COUNT(Register!$J$11:$J$510),"",SMALL(Register!$J$11:$J$510,66))</f>
        <v/>
      </c>
    </row>
    <row r="73" customFormat="false" ht="15" hidden="false" customHeight="false" outlineLevel="0" collapsed="false">
      <c r="A73" s="25" t="str">
        <f aca="false">IF($H73="","",INDEX(Register!$A$11:$A$510,MATCH($H73,Register!$J$11:$J$510,0))&amp;"")</f>
        <v/>
      </c>
      <c r="B73" s="25" t="str">
        <f aca="false">IF($H73="","",INDEX(Register!$B$11:$B$510,MATCH($H73,Register!$J$11:$J$510,0))&amp;"")</f>
        <v/>
      </c>
      <c r="C73" s="25" t="str">
        <f aca="false">IF($H73="","",INDEX(Register!$C$11:$C$510,MATCH($H73,Register!$J$11:$J$510,0))&amp;"")</f>
        <v/>
      </c>
      <c r="D73" s="26" t="str">
        <f aca="false">IF($H73="","",IF(ISNUMBER(INDEX(Register!$D$11:$D$510,MATCH($H73,Register!$J$11:$J$510,0))),INDEX(Register!$D$11:$D$510,MATCH($H73,Register!$J$11:$J$510,0)),INDEX(Register!$D$11:$D$510,MATCH($H73,Register!$J$11:$J$510,0))&amp;""))</f>
        <v/>
      </c>
      <c r="E73" s="25" t="str">
        <f aca="false">IF($H73="","",IF(ISNUMBER(INDEX(Register!$E$11:$E$510,MATCH($H73,Register!$J$11:$J$510,0))),INDEX(Register!$E$11:$E$510,MATCH($H73,Register!$J$11:$J$510,0))&amp;" mo",INDEX(Register!$E$11:$E$510,MATCH($H73,Register!$J$11:$J$510,0))&amp;""))</f>
        <v/>
      </c>
      <c r="F73" s="26" t="str">
        <f aca="false">IF($H73="","",INDEX(Register!$F$11:$F$510,MATCH($H73,Register!$J$11:$J$510,0)))</f>
        <v/>
      </c>
      <c r="G73" s="27" t="str">
        <f aca="false">IF($H73="","",IF(INDEX(Register!$G$11:$G$510,MATCH($H73,Register!$J$11:$J$510,0))="Check details","Check details: "&amp;INDEX(Register!$I$11:$I$510,MATCH($H73,Register!$J$11:$J$510,0)),INDEX(Register!$G$11:$G$510,MATCH($H73,Register!$J$11:$J$510,0))))</f>
        <v/>
      </c>
      <c r="H73" s="28" t="str">
        <f aca="false">IF(67&gt;COUNT(Register!$J$11:$J$510),"",SMALL(Register!$J$11:$J$510,67))</f>
        <v/>
      </c>
    </row>
    <row r="74" customFormat="false" ht="15" hidden="false" customHeight="false" outlineLevel="0" collapsed="false">
      <c r="A74" s="25" t="str">
        <f aca="false">IF($H74="","",INDEX(Register!$A$11:$A$510,MATCH($H74,Register!$J$11:$J$510,0))&amp;"")</f>
        <v/>
      </c>
      <c r="B74" s="25" t="str">
        <f aca="false">IF($H74="","",INDEX(Register!$B$11:$B$510,MATCH($H74,Register!$J$11:$J$510,0))&amp;"")</f>
        <v/>
      </c>
      <c r="C74" s="25" t="str">
        <f aca="false">IF($H74="","",INDEX(Register!$C$11:$C$510,MATCH($H74,Register!$J$11:$J$510,0))&amp;"")</f>
        <v/>
      </c>
      <c r="D74" s="26" t="str">
        <f aca="false">IF($H74="","",IF(ISNUMBER(INDEX(Register!$D$11:$D$510,MATCH($H74,Register!$J$11:$J$510,0))),INDEX(Register!$D$11:$D$510,MATCH($H74,Register!$J$11:$J$510,0)),INDEX(Register!$D$11:$D$510,MATCH($H74,Register!$J$11:$J$510,0))&amp;""))</f>
        <v/>
      </c>
      <c r="E74" s="25" t="str">
        <f aca="false">IF($H74="","",IF(ISNUMBER(INDEX(Register!$E$11:$E$510,MATCH($H74,Register!$J$11:$J$510,0))),INDEX(Register!$E$11:$E$510,MATCH($H74,Register!$J$11:$J$510,0))&amp;" mo",INDEX(Register!$E$11:$E$510,MATCH($H74,Register!$J$11:$J$510,0))&amp;""))</f>
        <v/>
      </c>
      <c r="F74" s="26" t="str">
        <f aca="false">IF($H74="","",INDEX(Register!$F$11:$F$510,MATCH($H74,Register!$J$11:$J$510,0)))</f>
        <v/>
      </c>
      <c r="G74" s="27" t="str">
        <f aca="false">IF($H74="","",IF(INDEX(Register!$G$11:$G$510,MATCH($H74,Register!$J$11:$J$510,0))="Check details","Check details: "&amp;INDEX(Register!$I$11:$I$510,MATCH($H74,Register!$J$11:$J$510,0)),INDEX(Register!$G$11:$G$510,MATCH($H74,Register!$J$11:$J$510,0))))</f>
        <v/>
      </c>
      <c r="H74" s="28" t="str">
        <f aca="false">IF(68&gt;COUNT(Register!$J$11:$J$510),"",SMALL(Register!$J$11:$J$510,68))</f>
        <v/>
      </c>
    </row>
    <row r="75" customFormat="false" ht="15" hidden="false" customHeight="false" outlineLevel="0" collapsed="false">
      <c r="A75" s="25" t="str">
        <f aca="false">IF($H75="","",INDEX(Register!$A$11:$A$510,MATCH($H75,Register!$J$11:$J$510,0))&amp;"")</f>
        <v/>
      </c>
      <c r="B75" s="25" t="str">
        <f aca="false">IF($H75="","",INDEX(Register!$B$11:$B$510,MATCH($H75,Register!$J$11:$J$510,0))&amp;"")</f>
        <v/>
      </c>
      <c r="C75" s="25" t="str">
        <f aca="false">IF($H75="","",INDEX(Register!$C$11:$C$510,MATCH($H75,Register!$J$11:$J$510,0))&amp;"")</f>
        <v/>
      </c>
      <c r="D75" s="26" t="str">
        <f aca="false">IF($H75="","",IF(ISNUMBER(INDEX(Register!$D$11:$D$510,MATCH($H75,Register!$J$11:$J$510,0))),INDEX(Register!$D$11:$D$510,MATCH($H75,Register!$J$11:$J$510,0)),INDEX(Register!$D$11:$D$510,MATCH($H75,Register!$J$11:$J$510,0))&amp;""))</f>
        <v/>
      </c>
      <c r="E75" s="25" t="str">
        <f aca="false">IF($H75="","",IF(ISNUMBER(INDEX(Register!$E$11:$E$510,MATCH($H75,Register!$J$11:$J$510,0))),INDEX(Register!$E$11:$E$510,MATCH($H75,Register!$J$11:$J$510,0))&amp;" mo",INDEX(Register!$E$11:$E$510,MATCH($H75,Register!$J$11:$J$510,0))&amp;""))</f>
        <v/>
      </c>
      <c r="F75" s="26" t="str">
        <f aca="false">IF($H75="","",INDEX(Register!$F$11:$F$510,MATCH($H75,Register!$J$11:$J$510,0)))</f>
        <v/>
      </c>
      <c r="G75" s="27" t="str">
        <f aca="false">IF($H75="","",IF(INDEX(Register!$G$11:$G$510,MATCH($H75,Register!$J$11:$J$510,0))="Check details","Check details: "&amp;INDEX(Register!$I$11:$I$510,MATCH($H75,Register!$J$11:$J$510,0)),INDEX(Register!$G$11:$G$510,MATCH($H75,Register!$J$11:$J$510,0))))</f>
        <v/>
      </c>
      <c r="H75" s="28" t="str">
        <f aca="false">IF(69&gt;COUNT(Register!$J$11:$J$510),"",SMALL(Register!$J$11:$J$510,69))</f>
        <v/>
      </c>
    </row>
    <row r="76" customFormat="false" ht="15" hidden="false" customHeight="false" outlineLevel="0" collapsed="false">
      <c r="A76" s="25" t="str">
        <f aca="false">IF($H76="","",INDEX(Register!$A$11:$A$510,MATCH($H76,Register!$J$11:$J$510,0))&amp;"")</f>
        <v/>
      </c>
      <c r="B76" s="25" t="str">
        <f aca="false">IF($H76="","",INDEX(Register!$B$11:$B$510,MATCH($H76,Register!$J$11:$J$510,0))&amp;"")</f>
        <v/>
      </c>
      <c r="C76" s="25" t="str">
        <f aca="false">IF($H76="","",INDEX(Register!$C$11:$C$510,MATCH($H76,Register!$J$11:$J$510,0))&amp;"")</f>
        <v/>
      </c>
      <c r="D76" s="26" t="str">
        <f aca="false">IF($H76="","",IF(ISNUMBER(INDEX(Register!$D$11:$D$510,MATCH($H76,Register!$J$11:$J$510,0))),INDEX(Register!$D$11:$D$510,MATCH($H76,Register!$J$11:$J$510,0)),INDEX(Register!$D$11:$D$510,MATCH($H76,Register!$J$11:$J$510,0))&amp;""))</f>
        <v/>
      </c>
      <c r="E76" s="25" t="str">
        <f aca="false">IF($H76="","",IF(ISNUMBER(INDEX(Register!$E$11:$E$510,MATCH($H76,Register!$J$11:$J$510,0))),INDEX(Register!$E$11:$E$510,MATCH($H76,Register!$J$11:$J$510,0))&amp;" mo",INDEX(Register!$E$11:$E$510,MATCH($H76,Register!$J$11:$J$510,0))&amp;""))</f>
        <v/>
      </c>
      <c r="F76" s="26" t="str">
        <f aca="false">IF($H76="","",INDEX(Register!$F$11:$F$510,MATCH($H76,Register!$J$11:$J$510,0)))</f>
        <v/>
      </c>
      <c r="G76" s="27" t="str">
        <f aca="false">IF($H76="","",IF(INDEX(Register!$G$11:$G$510,MATCH($H76,Register!$J$11:$J$510,0))="Check details","Check details: "&amp;INDEX(Register!$I$11:$I$510,MATCH($H76,Register!$J$11:$J$510,0)),INDEX(Register!$G$11:$G$510,MATCH($H76,Register!$J$11:$J$510,0))))</f>
        <v/>
      </c>
      <c r="H76" s="28" t="str">
        <f aca="false">IF(70&gt;COUNT(Register!$J$11:$J$510),"",SMALL(Register!$J$11:$J$510,70))</f>
        <v/>
      </c>
    </row>
    <row r="77" customFormat="false" ht="15" hidden="false" customHeight="false" outlineLevel="0" collapsed="false">
      <c r="A77" s="25" t="str">
        <f aca="false">IF($H77="","",INDEX(Register!$A$11:$A$510,MATCH($H77,Register!$J$11:$J$510,0))&amp;"")</f>
        <v/>
      </c>
      <c r="B77" s="25" t="str">
        <f aca="false">IF($H77="","",INDEX(Register!$B$11:$B$510,MATCH($H77,Register!$J$11:$J$510,0))&amp;"")</f>
        <v/>
      </c>
      <c r="C77" s="25" t="str">
        <f aca="false">IF($H77="","",INDEX(Register!$C$11:$C$510,MATCH($H77,Register!$J$11:$J$510,0))&amp;"")</f>
        <v/>
      </c>
      <c r="D77" s="26" t="str">
        <f aca="false">IF($H77="","",IF(ISNUMBER(INDEX(Register!$D$11:$D$510,MATCH($H77,Register!$J$11:$J$510,0))),INDEX(Register!$D$11:$D$510,MATCH($H77,Register!$J$11:$J$510,0)),INDEX(Register!$D$11:$D$510,MATCH($H77,Register!$J$11:$J$510,0))&amp;""))</f>
        <v/>
      </c>
      <c r="E77" s="25" t="str">
        <f aca="false">IF($H77="","",IF(ISNUMBER(INDEX(Register!$E$11:$E$510,MATCH($H77,Register!$J$11:$J$510,0))),INDEX(Register!$E$11:$E$510,MATCH($H77,Register!$J$11:$J$510,0))&amp;" mo",INDEX(Register!$E$11:$E$510,MATCH($H77,Register!$J$11:$J$510,0))&amp;""))</f>
        <v/>
      </c>
      <c r="F77" s="26" t="str">
        <f aca="false">IF($H77="","",INDEX(Register!$F$11:$F$510,MATCH($H77,Register!$J$11:$J$510,0)))</f>
        <v/>
      </c>
      <c r="G77" s="27" t="str">
        <f aca="false">IF($H77="","",IF(INDEX(Register!$G$11:$G$510,MATCH($H77,Register!$J$11:$J$510,0))="Check details","Check details: "&amp;INDEX(Register!$I$11:$I$510,MATCH($H77,Register!$J$11:$J$510,0)),INDEX(Register!$G$11:$G$510,MATCH($H77,Register!$J$11:$J$510,0))))</f>
        <v/>
      </c>
      <c r="H77" s="28" t="str">
        <f aca="false">IF(71&gt;COUNT(Register!$J$11:$J$510),"",SMALL(Register!$J$11:$J$510,71))</f>
        <v/>
      </c>
    </row>
    <row r="78" customFormat="false" ht="15" hidden="false" customHeight="false" outlineLevel="0" collapsed="false">
      <c r="A78" s="25" t="str">
        <f aca="false">IF($H78="","",INDEX(Register!$A$11:$A$510,MATCH($H78,Register!$J$11:$J$510,0))&amp;"")</f>
        <v/>
      </c>
      <c r="B78" s="25" t="str">
        <f aca="false">IF($H78="","",INDEX(Register!$B$11:$B$510,MATCH($H78,Register!$J$11:$J$510,0))&amp;"")</f>
        <v/>
      </c>
      <c r="C78" s="25" t="str">
        <f aca="false">IF($H78="","",INDEX(Register!$C$11:$C$510,MATCH($H78,Register!$J$11:$J$510,0))&amp;"")</f>
        <v/>
      </c>
      <c r="D78" s="26" t="str">
        <f aca="false">IF($H78="","",IF(ISNUMBER(INDEX(Register!$D$11:$D$510,MATCH($H78,Register!$J$11:$J$510,0))),INDEX(Register!$D$11:$D$510,MATCH($H78,Register!$J$11:$J$510,0)),INDEX(Register!$D$11:$D$510,MATCH($H78,Register!$J$11:$J$510,0))&amp;""))</f>
        <v/>
      </c>
      <c r="E78" s="25" t="str">
        <f aca="false">IF($H78="","",IF(ISNUMBER(INDEX(Register!$E$11:$E$510,MATCH($H78,Register!$J$11:$J$510,0))),INDEX(Register!$E$11:$E$510,MATCH($H78,Register!$J$11:$J$510,0))&amp;" mo",INDEX(Register!$E$11:$E$510,MATCH($H78,Register!$J$11:$J$510,0))&amp;""))</f>
        <v/>
      </c>
      <c r="F78" s="26" t="str">
        <f aca="false">IF($H78="","",INDEX(Register!$F$11:$F$510,MATCH($H78,Register!$J$11:$J$510,0)))</f>
        <v/>
      </c>
      <c r="G78" s="27" t="str">
        <f aca="false">IF($H78="","",IF(INDEX(Register!$G$11:$G$510,MATCH($H78,Register!$J$11:$J$510,0))="Check details","Check details: "&amp;INDEX(Register!$I$11:$I$510,MATCH($H78,Register!$J$11:$J$510,0)),INDEX(Register!$G$11:$G$510,MATCH($H78,Register!$J$11:$J$510,0))))</f>
        <v/>
      </c>
      <c r="H78" s="28" t="str">
        <f aca="false">IF(72&gt;COUNT(Register!$J$11:$J$510),"",SMALL(Register!$J$11:$J$510,72))</f>
        <v/>
      </c>
    </row>
    <row r="79" customFormat="false" ht="15" hidden="false" customHeight="false" outlineLevel="0" collapsed="false">
      <c r="A79" s="25" t="str">
        <f aca="false">IF($H79="","",INDEX(Register!$A$11:$A$510,MATCH($H79,Register!$J$11:$J$510,0))&amp;"")</f>
        <v/>
      </c>
      <c r="B79" s="25" t="str">
        <f aca="false">IF($H79="","",INDEX(Register!$B$11:$B$510,MATCH($H79,Register!$J$11:$J$510,0))&amp;"")</f>
        <v/>
      </c>
      <c r="C79" s="25" t="str">
        <f aca="false">IF($H79="","",INDEX(Register!$C$11:$C$510,MATCH($H79,Register!$J$11:$J$510,0))&amp;"")</f>
        <v/>
      </c>
      <c r="D79" s="26" t="str">
        <f aca="false">IF($H79="","",IF(ISNUMBER(INDEX(Register!$D$11:$D$510,MATCH($H79,Register!$J$11:$J$510,0))),INDEX(Register!$D$11:$D$510,MATCH($H79,Register!$J$11:$J$510,0)),INDEX(Register!$D$11:$D$510,MATCH($H79,Register!$J$11:$J$510,0))&amp;""))</f>
        <v/>
      </c>
      <c r="E79" s="25" t="str">
        <f aca="false">IF($H79="","",IF(ISNUMBER(INDEX(Register!$E$11:$E$510,MATCH($H79,Register!$J$11:$J$510,0))),INDEX(Register!$E$11:$E$510,MATCH($H79,Register!$J$11:$J$510,0))&amp;" mo",INDEX(Register!$E$11:$E$510,MATCH($H79,Register!$J$11:$J$510,0))&amp;""))</f>
        <v/>
      </c>
      <c r="F79" s="26" t="str">
        <f aca="false">IF($H79="","",INDEX(Register!$F$11:$F$510,MATCH($H79,Register!$J$11:$J$510,0)))</f>
        <v/>
      </c>
      <c r="G79" s="27" t="str">
        <f aca="false">IF($H79="","",IF(INDEX(Register!$G$11:$G$510,MATCH($H79,Register!$J$11:$J$510,0))="Check details","Check details: "&amp;INDEX(Register!$I$11:$I$510,MATCH($H79,Register!$J$11:$J$510,0)),INDEX(Register!$G$11:$G$510,MATCH($H79,Register!$J$11:$J$510,0))))</f>
        <v/>
      </c>
      <c r="H79" s="28" t="str">
        <f aca="false">IF(73&gt;COUNT(Register!$J$11:$J$510),"",SMALL(Register!$J$11:$J$510,73))</f>
        <v/>
      </c>
    </row>
    <row r="80" customFormat="false" ht="15" hidden="false" customHeight="false" outlineLevel="0" collapsed="false">
      <c r="A80" s="25" t="str">
        <f aca="false">IF($H80="","",INDEX(Register!$A$11:$A$510,MATCH($H80,Register!$J$11:$J$510,0))&amp;"")</f>
        <v/>
      </c>
      <c r="B80" s="25" t="str">
        <f aca="false">IF($H80="","",INDEX(Register!$B$11:$B$510,MATCH($H80,Register!$J$11:$J$510,0))&amp;"")</f>
        <v/>
      </c>
      <c r="C80" s="25" t="str">
        <f aca="false">IF($H80="","",INDEX(Register!$C$11:$C$510,MATCH($H80,Register!$J$11:$J$510,0))&amp;"")</f>
        <v/>
      </c>
      <c r="D80" s="26" t="str">
        <f aca="false">IF($H80="","",IF(ISNUMBER(INDEX(Register!$D$11:$D$510,MATCH($H80,Register!$J$11:$J$510,0))),INDEX(Register!$D$11:$D$510,MATCH($H80,Register!$J$11:$J$510,0)),INDEX(Register!$D$11:$D$510,MATCH($H80,Register!$J$11:$J$510,0))&amp;""))</f>
        <v/>
      </c>
      <c r="E80" s="25" t="str">
        <f aca="false">IF($H80="","",IF(ISNUMBER(INDEX(Register!$E$11:$E$510,MATCH($H80,Register!$J$11:$J$510,0))),INDEX(Register!$E$11:$E$510,MATCH($H80,Register!$J$11:$J$510,0))&amp;" mo",INDEX(Register!$E$11:$E$510,MATCH($H80,Register!$J$11:$J$510,0))&amp;""))</f>
        <v/>
      </c>
      <c r="F80" s="26" t="str">
        <f aca="false">IF($H80="","",INDEX(Register!$F$11:$F$510,MATCH($H80,Register!$J$11:$J$510,0)))</f>
        <v/>
      </c>
      <c r="G80" s="27" t="str">
        <f aca="false">IF($H80="","",IF(INDEX(Register!$G$11:$G$510,MATCH($H80,Register!$J$11:$J$510,0))="Check details","Check details: "&amp;INDEX(Register!$I$11:$I$510,MATCH($H80,Register!$J$11:$J$510,0)),INDEX(Register!$G$11:$G$510,MATCH($H80,Register!$J$11:$J$510,0))))</f>
        <v/>
      </c>
      <c r="H80" s="28" t="str">
        <f aca="false">IF(74&gt;COUNT(Register!$J$11:$J$510),"",SMALL(Register!$J$11:$J$510,74))</f>
        <v/>
      </c>
    </row>
    <row r="81" customFormat="false" ht="15" hidden="false" customHeight="false" outlineLevel="0" collapsed="false">
      <c r="A81" s="25" t="str">
        <f aca="false">IF($H81="","",INDEX(Register!$A$11:$A$510,MATCH($H81,Register!$J$11:$J$510,0))&amp;"")</f>
        <v/>
      </c>
      <c r="B81" s="25" t="str">
        <f aca="false">IF($H81="","",INDEX(Register!$B$11:$B$510,MATCH($H81,Register!$J$11:$J$510,0))&amp;"")</f>
        <v/>
      </c>
      <c r="C81" s="25" t="str">
        <f aca="false">IF($H81="","",INDEX(Register!$C$11:$C$510,MATCH($H81,Register!$J$11:$J$510,0))&amp;"")</f>
        <v/>
      </c>
      <c r="D81" s="26" t="str">
        <f aca="false">IF($H81="","",IF(ISNUMBER(INDEX(Register!$D$11:$D$510,MATCH($H81,Register!$J$11:$J$510,0))),INDEX(Register!$D$11:$D$510,MATCH($H81,Register!$J$11:$J$510,0)),INDEX(Register!$D$11:$D$510,MATCH($H81,Register!$J$11:$J$510,0))&amp;""))</f>
        <v/>
      </c>
      <c r="E81" s="25" t="str">
        <f aca="false">IF($H81="","",IF(ISNUMBER(INDEX(Register!$E$11:$E$510,MATCH($H81,Register!$J$11:$J$510,0))),INDEX(Register!$E$11:$E$510,MATCH($H81,Register!$J$11:$J$510,0))&amp;" mo",INDEX(Register!$E$11:$E$510,MATCH($H81,Register!$J$11:$J$510,0))&amp;""))</f>
        <v/>
      </c>
      <c r="F81" s="26" t="str">
        <f aca="false">IF($H81="","",INDEX(Register!$F$11:$F$510,MATCH($H81,Register!$J$11:$J$510,0)))</f>
        <v/>
      </c>
      <c r="G81" s="27" t="str">
        <f aca="false">IF($H81="","",IF(INDEX(Register!$G$11:$G$510,MATCH($H81,Register!$J$11:$J$510,0))="Check details","Check details: "&amp;INDEX(Register!$I$11:$I$510,MATCH($H81,Register!$J$11:$J$510,0)),INDEX(Register!$G$11:$G$510,MATCH($H81,Register!$J$11:$J$510,0))))</f>
        <v/>
      </c>
      <c r="H81" s="28" t="str">
        <f aca="false">IF(75&gt;COUNT(Register!$J$11:$J$510),"",SMALL(Register!$J$11:$J$510,75))</f>
        <v/>
      </c>
    </row>
    <row r="82" customFormat="false" ht="15" hidden="false" customHeight="false" outlineLevel="0" collapsed="false">
      <c r="A82" s="25" t="str">
        <f aca="false">IF($H82="","",INDEX(Register!$A$11:$A$510,MATCH($H82,Register!$J$11:$J$510,0))&amp;"")</f>
        <v/>
      </c>
      <c r="B82" s="25" t="str">
        <f aca="false">IF($H82="","",INDEX(Register!$B$11:$B$510,MATCH($H82,Register!$J$11:$J$510,0))&amp;"")</f>
        <v/>
      </c>
      <c r="C82" s="25" t="str">
        <f aca="false">IF($H82="","",INDEX(Register!$C$11:$C$510,MATCH($H82,Register!$J$11:$J$510,0))&amp;"")</f>
        <v/>
      </c>
      <c r="D82" s="26" t="str">
        <f aca="false">IF($H82="","",IF(ISNUMBER(INDEX(Register!$D$11:$D$510,MATCH($H82,Register!$J$11:$J$510,0))),INDEX(Register!$D$11:$D$510,MATCH($H82,Register!$J$11:$J$510,0)),INDEX(Register!$D$11:$D$510,MATCH($H82,Register!$J$11:$J$510,0))&amp;""))</f>
        <v/>
      </c>
      <c r="E82" s="25" t="str">
        <f aca="false">IF($H82="","",IF(ISNUMBER(INDEX(Register!$E$11:$E$510,MATCH($H82,Register!$J$11:$J$510,0))),INDEX(Register!$E$11:$E$510,MATCH($H82,Register!$J$11:$J$510,0))&amp;" mo",INDEX(Register!$E$11:$E$510,MATCH($H82,Register!$J$11:$J$510,0))&amp;""))</f>
        <v/>
      </c>
      <c r="F82" s="26" t="str">
        <f aca="false">IF($H82="","",INDEX(Register!$F$11:$F$510,MATCH($H82,Register!$J$11:$J$510,0)))</f>
        <v/>
      </c>
      <c r="G82" s="27" t="str">
        <f aca="false">IF($H82="","",IF(INDEX(Register!$G$11:$G$510,MATCH($H82,Register!$J$11:$J$510,0))="Check details","Check details: "&amp;INDEX(Register!$I$11:$I$510,MATCH($H82,Register!$J$11:$J$510,0)),INDEX(Register!$G$11:$G$510,MATCH($H82,Register!$J$11:$J$510,0))))</f>
        <v/>
      </c>
      <c r="H82" s="28" t="str">
        <f aca="false">IF(76&gt;COUNT(Register!$J$11:$J$510),"",SMALL(Register!$J$11:$J$510,76))</f>
        <v/>
      </c>
    </row>
    <row r="83" customFormat="false" ht="15" hidden="false" customHeight="false" outlineLevel="0" collapsed="false">
      <c r="A83" s="25" t="str">
        <f aca="false">IF($H83="","",INDEX(Register!$A$11:$A$510,MATCH($H83,Register!$J$11:$J$510,0))&amp;"")</f>
        <v/>
      </c>
      <c r="B83" s="25" t="str">
        <f aca="false">IF($H83="","",INDEX(Register!$B$11:$B$510,MATCH($H83,Register!$J$11:$J$510,0))&amp;"")</f>
        <v/>
      </c>
      <c r="C83" s="25" t="str">
        <f aca="false">IF($H83="","",INDEX(Register!$C$11:$C$510,MATCH($H83,Register!$J$11:$J$510,0))&amp;"")</f>
        <v/>
      </c>
      <c r="D83" s="26" t="str">
        <f aca="false">IF($H83="","",IF(ISNUMBER(INDEX(Register!$D$11:$D$510,MATCH($H83,Register!$J$11:$J$510,0))),INDEX(Register!$D$11:$D$510,MATCH($H83,Register!$J$11:$J$510,0)),INDEX(Register!$D$11:$D$510,MATCH($H83,Register!$J$11:$J$510,0))&amp;""))</f>
        <v/>
      </c>
      <c r="E83" s="25" t="str">
        <f aca="false">IF($H83="","",IF(ISNUMBER(INDEX(Register!$E$11:$E$510,MATCH($H83,Register!$J$11:$J$510,0))),INDEX(Register!$E$11:$E$510,MATCH($H83,Register!$J$11:$J$510,0))&amp;" mo",INDEX(Register!$E$11:$E$510,MATCH($H83,Register!$J$11:$J$510,0))&amp;""))</f>
        <v/>
      </c>
      <c r="F83" s="26" t="str">
        <f aca="false">IF($H83="","",INDEX(Register!$F$11:$F$510,MATCH($H83,Register!$J$11:$J$510,0)))</f>
        <v/>
      </c>
      <c r="G83" s="27" t="str">
        <f aca="false">IF($H83="","",IF(INDEX(Register!$G$11:$G$510,MATCH($H83,Register!$J$11:$J$510,0))="Check details","Check details: "&amp;INDEX(Register!$I$11:$I$510,MATCH($H83,Register!$J$11:$J$510,0)),INDEX(Register!$G$11:$G$510,MATCH($H83,Register!$J$11:$J$510,0))))</f>
        <v/>
      </c>
      <c r="H83" s="28" t="str">
        <f aca="false">IF(77&gt;COUNT(Register!$J$11:$J$510),"",SMALL(Register!$J$11:$J$510,77))</f>
        <v/>
      </c>
    </row>
    <row r="84" customFormat="false" ht="15" hidden="false" customHeight="false" outlineLevel="0" collapsed="false">
      <c r="A84" s="25" t="str">
        <f aca="false">IF($H84="","",INDEX(Register!$A$11:$A$510,MATCH($H84,Register!$J$11:$J$510,0))&amp;"")</f>
        <v/>
      </c>
      <c r="B84" s="25" t="str">
        <f aca="false">IF($H84="","",INDEX(Register!$B$11:$B$510,MATCH($H84,Register!$J$11:$J$510,0))&amp;"")</f>
        <v/>
      </c>
      <c r="C84" s="25" t="str">
        <f aca="false">IF($H84="","",INDEX(Register!$C$11:$C$510,MATCH($H84,Register!$J$11:$J$510,0))&amp;"")</f>
        <v/>
      </c>
      <c r="D84" s="26" t="str">
        <f aca="false">IF($H84="","",IF(ISNUMBER(INDEX(Register!$D$11:$D$510,MATCH($H84,Register!$J$11:$J$510,0))),INDEX(Register!$D$11:$D$510,MATCH($H84,Register!$J$11:$J$510,0)),INDEX(Register!$D$11:$D$510,MATCH($H84,Register!$J$11:$J$510,0))&amp;""))</f>
        <v/>
      </c>
      <c r="E84" s="25" t="str">
        <f aca="false">IF($H84="","",IF(ISNUMBER(INDEX(Register!$E$11:$E$510,MATCH($H84,Register!$J$11:$J$510,0))),INDEX(Register!$E$11:$E$510,MATCH($H84,Register!$J$11:$J$510,0))&amp;" mo",INDEX(Register!$E$11:$E$510,MATCH($H84,Register!$J$11:$J$510,0))&amp;""))</f>
        <v/>
      </c>
      <c r="F84" s="26" t="str">
        <f aca="false">IF($H84="","",INDEX(Register!$F$11:$F$510,MATCH($H84,Register!$J$11:$J$510,0)))</f>
        <v/>
      </c>
      <c r="G84" s="27" t="str">
        <f aca="false">IF($H84="","",IF(INDEX(Register!$G$11:$G$510,MATCH($H84,Register!$J$11:$J$510,0))="Check details","Check details: "&amp;INDEX(Register!$I$11:$I$510,MATCH($H84,Register!$J$11:$J$510,0)),INDEX(Register!$G$11:$G$510,MATCH($H84,Register!$J$11:$J$510,0))))</f>
        <v/>
      </c>
      <c r="H84" s="28" t="str">
        <f aca="false">IF(78&gt;COUNT(Register!$J$11:$J$510),"",SMALL(Register!$J$11:$J$510,78))</f>
        <v/>
      </c>
    </row>
    <row r="85" customFormat="false" ht="15" hidden="false" customHeight="false" outlineLevel="0" collapsed="false">
      <c r="A85" s="25" t="str">
        <f aca="false">IF($H85="","",INDEX(Register!$A$11:$A$510,MATCH($H85,Register!$J$11:$J$510,0))&amp;"")</f>
        <v/>
      </c>
      <c r="B85" s="25" t="str">
        <f aca="false">IF($H85="","",INDEX(Register!$B$11:$B$510,MATCH($H85,Register!$J$11:$J$510,0))&amp;"")</f>
        <v/>
      </c>
      <c r="C85" s="25" t="str">
        <f aca="false">IF($H85="","",INDEX(Register!$C$11:$C$510,MATCH($H85,Register!$J$11:$J$510,0))&amp;"")</f>
        <v/>
      </c>
      <c r="D85" s="26" t="str">
        <f aca="false">IF($H85="","",IF(ISNUMBER(INDEX(Register!$D$11:$D$510,MATCH($H85,Register!$J$11:$J$510,0))),INDEX(Register!$D$11:$D$510,MATCH($H85,Register!$J$11:$J$510,0)),INDEX(Register!$D$11:$D$510,MATCH($H85,Register!$J$11:$J$510,0))&amp;""))</f>
        <v/>
      </c>
      <c r="E85" s="25" t="str">
        <f aca="false">IF($H85="","",IF(ISNUMBER(INDEX(Register!$E$11:$E$510,MATCH($H85,Register!$J$11:$J$510,0))),INDEX(Register!$E$11:$E$510,MATCH($H85,Register!$J$11:$J$510,0))&amp;" mo",INDEX(Register!$E$11:$E$510,MATCH($H85,Register!$J$11:$J$510,0))&amp;""))</f>
        <v/>
      </c>
      <c r="F85" s="26" t="str">
        <f aca="false">IF($H85="","",INDEX(Register!$F$11:$F$510,MATCH($H85,Register!$J$11:$J$510,0)))</f>
        <v/>
      </c>
      <c r="G85" s="27" t="str">
        <f aca="false">IF($H85="","",IF(INDEX(Register!$G$11:$G$510,MATCH($H85,Register!$J$11:$J$510,0))="Check details","Check details: "&amp;INDEX(Register!$I$11:$I$510,MATCH($H85,Register!$J$11:$J$510,0)),INDEX(Register!$G$11:$G$510,MATCH($H85,Register!$J$11:$J$510,0))))</f>
        <v/>
      </c>
      <c r="H85" s="28" t="str">
        <f aca="false">IF(79&gt;COUNT(Register!$J$11:$J$510),"",SMALL(Register!$J$11:$J$510,79))</f>
        <v/>
      </c>
    </row>
    <row r="86" customFormat="false" ht="15" hidden="false" customHeight="false" outlineLevel="0" collapsed="false">
      <c r="A86" s="25" t="str">
        <f aca="false">IF($H86="","",INDEX(Register!$A$11:$A$510,MATCH($H86,Register!$J$11:$J$510,0))&amp;"")</f>
        <v/>
      </c>
      <c r="B86" s="25" t="str">
        <f aca="false">IF($H86="","",INDEX(Register!$B$11:$B$510,MATCH($H86,Register!$J$11:$J$510,0))&amp;"")</f>
        <v/>
      </c>
      <c r="C86" s="25" t="str">
        <f aca="false">IF($H86="","",INDEX(Register!$C$11:$C$510,MATCH($H86,Register!$J$11:$J$510,0))&amp;"")</f>
        <v/>
      </c>
      <c r="D86" s="26" t="str">
        <f aca="false">IF($H86="","",IF(ISNUMBER(INDEX(Register!$D$11:$D$510,MATCH($H86,Register!$J$11:$J$510,0))),INDEX(Register!$D$11:$D$510,MATCH($H86,Register!$J$11:$J$510,0)),INDEX(Register!$D$11:$D$510,MATCH($H86,Register!$J$11:$J$510,0))&amp;""))</f>
        <v/>
      </c>
      <c r="E86" s="25" t="str">
        <f aca="false">IF($H86="","",IF(ISNUMBER(INDEX(Register!$E$11:$E$510,MATCH($H86,Register!$J$11:$J$510,0))),INDEX(Register!$E$11:$E$510,MATCH($H86,Register!$J$11:$J$510,0))&amp;" mo",INDEX(Register!$E$11:$E$510,MATCH($H86,Register!$J$11:$J$510,0))&amp;""))</f>
        <v/>
      </c>
      <c r="F86" s="26" t="str">
        <f aca="false">IF($H86="","",INDEX(Register!$F$11:$F$510,MATCH($H86,Register!$J$11:$J$510,0)))</f>
        <v/>
      </c>
      <c r="G86" s="27" t="str">
        <f aca="false">IF($H86="","",IF(INDEX(Register!$G$11:$G$510,MATCH($H86,Register!$J$11:$J$510,0))="Check details","Check details: "&amp;INDEX(Register!$I$11:$I$510,MATCH($H86,Register!$J$11:$J$510,0)),INDEX(Register!$G$11:$G$510,MATCH($H86,Register!$J$11:$J$510,0))))</f>
        <v/>
      </c>
      <c r="H86" s="28" t="str">
        <f aca="false">IF(80&gt;COUNT(Register!$J$11:$J$510),"",SMALL(Register!$J$11:$J$510,80))</f>
        <v/>
      </c>
    </row>
    <row r="87" customFormat="false" ht="15" hidden="false" customHeight="false" outlineLevel="0" collapsed="false">
      <c r="A87" s="25" t="str">
        <f aca="false">IF($H87="","",INDEX(Register!$A$11:$A$510,MATCH($H87,Register!$J$11:$J$510,0))&amp;"")</f>
        <v/>
      </c>
      <c r="B87" s="25" t="str">
        <f aca="false">IF($H87="","",INDEX(Register!$B$11:$B$510,MATCH($H87,Register!$J$11:$J$510,0))&amp;"")</f>
        <v/>
      </c>
      <c r="C87" s="25" t="str">
        <f aca="false">IF($H87="","",INDEX(Register!$C$11:$C$510,MATCH($H87,Register!$J$11:$J$510,0))&amp;"")</f>
        <v/>
      </c>
      <c r="D87" s="26" t="str">
        <f aca="false">IF($H87="","",IF(ISNUMBER(INDEX(Register!$D$11:$D$510,MATCH($H87,Register!$J$11:$J$510,0))),INDEX(Register!$D$11:$D$510,MATCH($H87,Register!$J$11:$J$510,0)),INDEX(Register!$D$11:$D$510,MATCH($H87,Register!$J$11:$J$510,0))&amp;""))</f>
        <v/>
      </c>
      <c r="E87" s="25" t="str">
        <f aca="false">IF($H87="","",IF(ISNUMBER(INDEX(Register!$E$11:$E$510,MATCH($H87,Register!$J$11:$J$510,0))),INDEX(Register!$E$11:$E$510,MATCH($H87,Register!$J$11:$J$510,0))&amp;" mo",INDEX(Register!$E$11:$E$510,MATCH($H87,Register!$J$11:$J$510,0))&amp;""))</f>
        <v/>
      </c>
      <c r="F87" s="26" t="str">
        <f aca="false">IF($H87="","",INDEX(Register!$F$11:$F$510,MATCH($H87,Register!$J$11:$J$510,0)))</f>
        <v/>
      </c>
      <c r="G87" s="27" t="str">
        <f aca="false">IF($H87="","",IF(INDEX(Register!$G$11:$G$510,MATCH($H87,Register!$J$11:$J$510,0))="Check details","Check details: "&amp;INDEX(Register!$I$11:$I$510,MATCH($H87,Register!$J$11:$J$510,0)),INDEX(Register!$G$11:$G$510,MATCH($H87,Register!$J$11:$J$510,0))))</f>
        <v/>
      </c>
      <c r="H87" s="28" t="str">
        <f aca="false">IF(81&gt;COUNT(Register!$J$11:$J$510),"",SMALL(Register!$J$11:$J$510,81))</f>
        <v/>
      </c>
    </row>
    <row r="88" customFormat="false" ht="15" hidden="false" customHeight="false" outlineLevel="0" collapsed="false">
      <c r="A88" s="25" t="str">
        <f aca="false">IF($H88="","",INDEX(Register!$A$11:$A$510,MATCH($H88,Register!$J$11:$J$510,0))&amp;"")</f>
        <v/>
      </c>
      <c r="B88" s="25" t="str">
        <f aca="false">IF($H88="","",INDEX(Register!$B$11:$B$510,MATCH($H88,Register!$J$11:$J$510,0))&amp;"")</f>
        <v/>
      </c>
      <c r="C88" s="25" t="str">
        <f aca="false">IF($H88="","",INDEX(Register!$C$11:$C$510,MATCH($H88,Register!$J$11:$J$510,0))&amp;"")</f>
        <v/>
      </c>
      <c r="D88" s="26" t="str">
        <f aca="false">IF($H88="","",IF(ISNUMBER(INDEX(Register!$D$11:$D$510,MATCH($H88,Register!$J$11:$J$510,0))),INDEX(Register!$D$11:$D$510,MATCH($H88,Register!$J$11:$J$510,0)),INDEX(Register!$D$11:$D$510,MATCH($H88,Register!$J$11:$J$510,0))&amp;""))</f>
        <v/>
      </c>
      <c r="E88" s="25" t="str">
        <f aca="false">IF($H88="","",IF(ISNUMBER(INDEX(Register!$E$11:$E$510,MATCH($H88,Register!$J$11:$J$510,0))),INDEX(Register!$E$11:$E$510,MATCH($H88,Register!$J$11:$J$510,0))&amp;" mo",INDEX(Register!$E$11:$E$510,MATCH($H88,Register!$J$11:$J$510,0))&amp;""))</f>
        <v/>
      </c>
      <c r="F88" s="26" t="str">
        <f aca="false">IF($H88="","",INDEX(Register!$F$11:$F$510,MATCH($H88,Register!$J$11:$J$510,0)))</f>
        <v/>
      </c>
      <c r="G88" s="27" t="str">
        <f aca="false">IF($H88="","",IF(INDEX(Register!$G$11:$G$510,MATCH($H88,Register!$J$11:$J$510,0))="Check details","Check details: "&amp;INDEX(Register!$I$11:$I$510,MATCH($H88,Register!$J$11:$J$510,0)),INDEX(Register!$G$11:$G$510,MATCH($H88,Register!$J$11:$J$510,0))))</f>
        <v/>
      </c>
      <c r="H88" s="28" t="str">
        <f aca="false">IF(82&gt;COUNT(Register!$J$11:$J$510),"",SMALL(Register!$J$11:$J$510,82))</f>
        <v/>
      </c>
    </row>
    <row r="89" customFormat="false" ht="15" hidden="false" customHeight="false" outlineLevel="0" collapsed="false">
      <c r="A89" s="25" t="str">
        <f aca="false">IF($H89="","",INDEX(Register!$A$11:$A$510,MATCH($H89,Register!$J$11:$J$510,0))&amp;"")</f>
        <v/>
      </c>
      <c r="B89" s="25" t="str">
        <f aca="false">IF($H89="","",INDEX(Register!$B$11:$B$510,MATCH($H89,Register!$J$11:$J$510,0))&amp;"")</f>
        <v/>
      </c>
      <c r="C89" s="25" t="str">
        <f aca="false">IF($H89="","",INDEX(Register!$C$11:$C$510,MATCH($H89,Register!$J$11:$J$510,0))&amp;"")</f>
        <v/>
      </c>
      <c r="D89" s="26" t="str">
        <f aca="false">IF($H89="","",IF(ISNUMBER(INDEX(Register!$D$11:$D$510,MATCH($H89,Register!$J$11:$J$510,0))),INDEX(Register!$D$11:$D$510,MATCH($H89,Register!$J$11:$J$510,0)),INDEX(Register!$D$11:$D$510,MATCH($H89,Register!$J$11:$J$510,0))&amp;""))</f>
        <v/>
      </c>
      <c r="E89" s="25" t="str">
        <f aca="false">IF($H89="","",IF(ISNUMBER(INDEX(Register!$E$11:$E$510,MATCH($H89,Register!$J$11:$J$510,0))),INDEX(Register!$E$11:$E$510,MATCH($H89,Register!$J$11:$J$510,0))&amp;" mo",INDEX(Register!$E$11:$E$510,MATCH($H89,Register!$J$11:$J$510,0))&amp;""))</f>
        <v/>
      </c>
      <c r="F89" s="26" t="str">
        <f aca="false">IF($H89="","",INDEX(Register!$F$11:$F$510,MATCH($H89,Register!$J$11:$J$510,0)))</f>
        <v/>
      </c>
      <c r="G89" s="27" t="str">
        <f aca="false">IF($H89="","",IF(INDEX(Register!$G$11:$G$510,MATCH($H89,Register!$J$11:$J$510,0))="Check details","Check details: "&amp;INDEX(Register!$I$11:$I$510,MATCH($H89,Register!$J$11:$J$510,0)),INDEX(Register!$G$11:$G$510,MATCH($H89,Register!$J$11:$J$510,0))))</f>
        <v/>
      </c>
      <c r="H89" s="28" t="str">
        <f aca="false">IF(83&gt;COUNT(Register!$J$11:$J$510),"",SMALL(Register!$J$11:$J$510,83))</f>
        <v/>
      </c>
    </row>
    <row r="90" customFormat="false" ht="15" hidden="false" customHeight="false" outlineLevel="0" collapsed="false">
      <c r="A90" s="25" t="str">
        <f aca="false">IF($H90="","",INDEX(Register!$A$11:$A$510,MATCH($H90,Register!$J$11:$J$510,0))&amp;"")</f>
        <v/>
      </c>
      <c r="B90" s="25" t="str">
        <f aca="false">IF($H90="","",INDEX(Register!$B$11:$B$510,MATCH($H90,Register!$J$11:$J$510,0))&amp;"")</f>
        <v/>
      </c>
      <c r="C90" s="25" t="str">
        <f aca="false">IF($H90="","",INDEX(Register!$C$11:$C$510,MATCH($H90,Register!$J$11:$J$510,0))&amp;"")</f>
        <v/>
      </c>
      <c r="D90" s="26" t="str">
        <f aca="false">IF($H90="","",IF(ISNUMBER(INDEX(Register!$D$11:$D$510,MATCH($H90,Register!$J$11:$J$510,0))),INDEX(Register!$D$11:$D$510,MATCH($H90,Register!$J$11:$J$510,0)),INDEX(Register!$D$11:$D$510,MATCH($H90,Register!$J$11:$J$510,0))&amp;""))</f>
        <v/>
      </c>
      <c r="E90" s="25" t="str">
        <f aca="false">IF($H90="","",IF(ISNUMBER(INDEX(Register!$E$11:$E$510,MATCH($H90,Register!$J$11:$J$510,0))),INDEX(Register!$E$11:$E$510,MATCH($H90,Register!$J$11:$J$510,0))&amp;" mo",INDEX(Register!$E$11:$E$510,MATCH($H90,Register!$J$11:$J$510,0))&amp;""))</f>
        <v/>
      </c>
      <c r="F90" s="26" t="str">
        <f aca="false">IF($H90="","",INDEX(Register!$F$11:$F$510,MATCH($H90,Register!$J$11:$J$510,0)))</f>
        <v/>
      </c>
      <c r="G90" s="27" t="str">
        <f aca="false">IF($H90="","",IF(INDEX(Register!$G$11:$G$510,MATCH($H90,Register!$J$11:$J$510,0))="Check details","Check details: "&amp;INDEX(Register!$I$11:$I$510,MATCH($H90,Register!$J$11:$J$510,0)),INDEX(Register!$G$11:$G$510,MATCH($H90,Register!$J$11:$J$510,0))))</f>
        <v/>
      </c>
      <c r="H90" s="28" t="str">
        <f aca="false">IF(84&gt;COUNT(Register!$J$11:$J$510),"",SMALL(Register!$J$11:$J$510,84))</f>
        <v/>
      </c>
    </row>
    <row r="91" customFormat="false" ht="15" hidden="false" customHeight="false" outlineLevel="0" collapsed="false">
      <c r="A91" s="25" t="str">
        <f aca="false">IF($H91="","",INDEX(Register!$A$11:$A$510,MATCH($H91,Register!$J$11:$J$510,0))&amp;"")</f>
        <v/>
      </c>
      <c r="B91" s="25" t="str">
        <f aca="false">IF($H91="","",INDEX(Register!$B$11:$B$510,MATCH($H91,Register!$J$11:$J$510,0))&amp;"")</f>
        <v/>
      </c>
      <c r="C91" s="25" t="str">
        <f aca="false">IF($H91="","",INDEX(Register!$C$11:$C$510,MATCH($H91,Register!$J$11:$J$510,0))&amp;"")</f>
        <v/>
      </c>
      <c r="D91" s="26" t="str">
        <f aca="false">IF($H91="","",IF(ISNUMBER(INDEX(Register!$D$11:$D$510,MATCH($H91,Register!$J$11:$J$510,0))),INDEX(Register!$D$11:$D$510,MATCH($H91,Register!$J$11:$J$510,0)),INDEX(Register!$D$11:$D$510,MATCH($H91,Register!$J$11:$J$510,0))&amp;""))</f>
        <v/>
      </c>
      <c r="E91" s="25" t="str">
        <f aca="false">IF($H91="","",IF(ISNUMBER(INDEX(Register!$E$11:$E$510,MATCH($H91,Register!$J$11:$J$510,0))),INDEX(Register!$E$11:$E$510,MATCH($H91,Register!$J$11:$J$510,0))&amp;" mo",INDEX(Register!$E$11:$E$510,MATCH($H91,Register!$J$11:$J$510,0))&amp;""))</f>
        <v/>
      </c>
      <c r="F91" s="26" t="str">
        <f aca="false">IF($H91="","",INDEX(Register!$F$11:$F$510,MATCH($H91,Register!$J$11:$J$510,0)))</f>
        <v/>
      </c>
      <c r="G91" s="27" t="str">
        <f aca="false">IF($H91="","",IF(INDEX(Register!$G$11:$G$510,MATCH($H91,Register!$J$11:$J$510,0))="Check details","Check details: "&amp;INDEX(Register!$I$11:$I$510,MATCH($H91,Register!$J$11:$J$510,0)),INDEX(Register!$G$11:$G$510,MATCH($H91,Register!$J$11:$J$510,0))))</f>
        <v/>
      </c>
      <c r="H91" s="28" t="str">
        <f aca="false">IF(85&gt;COUNT(Register!$J$11:$J$510),"",SMALL(Register!$J$11:$J$510,85))</f>
        <v/>
      </c>
    </row>
    <row r="92" customFormat="false" ht="15" hidden="false" customHeight="false" outlineLevel="0" collapsed="false">
      <c r="A92" s="25" t="str">
        <f aca="false">IF($H92="","",INDEX(Register!$A$11:$A$510,MATCH($H92,Register!$J$11:$J$510,0))&amp;"")</f>
        <v/>
      </c>
      <c r="B92" s="25" t="str">
        <f aca="false">IF($H92="","",INDEX(Register!$B$11:$B$510,MATCH($H92,Register!$J$11:$J$510,0))&amp;"")</f>
        <v/>
      </c>
      <c r="C92" s="25" t="str">
        <f aca="false">IF($H92="","",INDEX(Register!$C$11:$C$510,MATCH($H92,Register!$J$11:$J$510,0))&amp;"")</f>
        <v/>
      </c>
      <c r="D92" s="26" t="str">
        <f aca="false">IF($H92="","",IF(ISNUMBER(INDEX(Register!$D$11:$D$510,MATCH($H92,Register!$J$11:$J$510,0))),INDEX(Register!$D$11:$D$510,MATCH($H92,Register!$J$11:$J$510,0)),INDEX(Register!$D$11:$D$510,MATCH($H92,Register!$J$11:$J$510,0))&amp;""))</f>
        <v/>
      </c>
      <c r="E92" s="25" t="str">
        <f aca="false">IF($H92="","",IF(ISNUMBER(INDEX(Register!$E$11:$E$510,MATCH($H92,Register!$J$11:$J$510,0))),INDEX(Register!$E$11:$E$510,MATCH($H92,Register!$J$11:$J$510,0))&amp;" mo",INDEX(Register!$E$11:$E$510,MATCH($H92,Register!$J$11:$J$510,0))&amp;""))</f>
        <v/>
      </c>
      <c r="F92" s="26" t="str">
        <f aca="false">IF($H92="","",INDEX(Register!$F$11:$F$510,MATCH($H92,Register!$J$11:$J$510,0)))</f>
        <v/>
      </c>
      <c r="G92" s="27" t="str">
        <f aca="false">IF($H92="","",IF(INDEX(Register!$G$11:$G$510,MATCH($H92,Register!$J$11:$J$510,0))="Check details","Check details: "&amp;INDEX(Register!$I$11:$I$510,MATCH($H92,Register!$J$11:$J$510,0)),INDEX(Register!$G$11:$G$510,MATCH($H92,Register!$J$11:$J$510,0))))</f>
        <v/>
      </c>
      <c r="H92" s="28" t="str">
        <f aca="false">IF(86&gt;COUNT(Register!$J$11:$J$510),"",SMALL(Register!$J$11:$J$510,86))</f>
        <v/>
      </c>
    </row>
    <row r="93" customFormat="false" ht="15" hidden="false" customHeight="false" outlineLevel="0" collapsed="false">
      <c r="A93" s="25" t="str">
        <f aca="false">IF($H93="","",INDEX(Register!$A$11:$A$510,MATCH($H93,Register!$J$11:$J$510,0))&amp;"")</f>
        <v/>
      </c>
      <c r="B93" s="25" t="str">
        <f aca="false">IF($H93="","",INDEX(Register!$B$11:$B$510,MATCH($H93,Register!$J$11:$J$510,0))&amp;"")</f>
        <v/>
      </c>
      <c r="C93" s="25" t="str">
        <f aca="false">IF($H93="","",INDEX(Register!$C$11:$C$510,MATCH($H93,Register!$J$11:$J$510,0))&amp;"")</f>
        <v/>
      </c>
      <c r="D93" s="26" t="str">
        <f aca="false">IF($H93="","",IF(ISNUMBER(INDEX(Register!$D$11:$D$510,MATCH($H93,Register!$J$11:$J$510,0))),INDEX(Register!$D$11:$D$510,MATCH($H93,Register!$J$11:$J$510,0)),INDEX(Register!$D$11:$D$510,MATCH($H93,Register!$J$11:$J$510,0))&amp;""))</f>
        <v/>
      </c>
      <c r="E93" s="25" t="str">
        <f aca="false">IF($H93="","",IF(ISNUMBER(INDEX(Register!$E$11:$E$510,MATCH($H93,Register!$J$11:$J$510,0))),INDEX(Register!$E$11:$E$510,MATCH($H93,Register!$J$11:$J$510,0))&amp;" mo",INDEX(Register!$E$11:$E$510,MATCH($H93,Register!$J$11:$J$510,0))&amp;""))</f>
        <v/>
      </c>
      <c r="F93" s="26" t="str">
        <f aca="false">IF($H93="","",INDEX(Register!$F$11:$F$510,MATCH($H93,Register!$J$11:$J$510,0)))</f>
        <v/>
      </c>
      <c r="G93" s="27" t="str">
        <f aca="false">IF($H93="","",IF(INDEX(Register!$G$11:$G$510,MATCH($H93,Register!$J$11:$J$510,0))="Check details","Check details: "&amp;INDEX(Register!$I$11:$I$510,MATCH($H93,Register!$J$11:$J$510,0)),INDEX(Register!$G$11:$G$510,MATCH($H93,Register!$J$11:$J$510,0))))</f>
        <v/>
      </c>
      <c r="H93" s="28" t="str">
        <f aca="false">IF(87&gt;COUNT(Register!$J$11:$J$510),"",SMALL(Register!$J$11:$J$510,87))</f>
        <v/>
      </c>
    </row>
    <row r="94" customFormat="false" ht="15" hidden="false" customHeight="false" outlineLevel="0" collapsed="false">
      <c r="A94" s="25" t="str">
        <f aca="false">IF($H94="","",INDEX(Register!$A$11:$A$510,MATCH($H94,Register!$J$11:$J$510,0))&amp;"")</f>
        <v/>
      </c>
      <c r="B94" s="25" t="str">
        <f aca="false">IF($H94="","",INDEX(Register!$B$11:$B$510,MATCH($H94,Register!$J$11:$J$510,0))&amp;"")</f>
        <v/>
      </c>
      <c r="C94" s="25" t="str">
        <f aca="false">IF($H94="","",INDEX(Register!$C$11:$C$510,MATCH($H94,Register!$J$11:$J$510,0))&amp;"")</f>
        <v/>
      </c>
      <c r="D94" s="26" t="str">
        <f aca="false">IF($H94="","",IF(ISNUMBER(INDEX(Register!$D$11:$D$510,MATCH($H94,Register!$J$11:$J$510,0))),INDEX(Register!$D$11:$D$510,MATCH($H94,Register!$J$11:$J$510,0)),INDEX(Register!$D$11:$D$510,MATCH($H94,Register!$J$11:$J$510,0))&amp;""))</f>
        <v/>
      </c>
      <c r="E94" s="25" t="str">
        <f aca="false">IF($H94="","",IF(ISNUMBER(INDEX(Register!$E$11:$E$510,MATCH($H94,Register!$J$11:$J$510,0))),INDEX(Register!$E$11:$E$510,MATCH($H94,Register!$J$11:$J$510,0))&amp;" mo",INDEX(Register!$E$11:$E$510,MATCH($H94,Register!$J$11:$J$510,0))&amp;""))</f>
        <v/>
      </c>
      <c r="F94" s="26" t="str">
        <f aca="false">IF($H94="","",INDEX(Register!$F$11:$F$510,MATCH($H94,Register!$J$11:$J$510,0)))</f>
        <v/>
      </c>
      <c r="G94" s="27" t="str">
        <f aca="false">IF($H94="","",IF(INDEX(Register!$G$11:$G$510,MATCH($H94,Register!$J$11:$J$510,0))="Check details","Check details: "&amp;INDEX(Register!$I$11:$I$510,MATCH($H94,Register!$J$11:$J$510,0)),INDEX(Register!$G$11:$G$510,MATCH($H94,Register!$J$11:$J$510,0))))</f>
        <v/>
      </c>
      <c r="H94" s="28" t="str">
        <f aca="false">IF(88&gt;COUNT(Register!$J$11:$J$510),"",SMALL(Register!$J$11:$J$510,88))</f>
        <v/>
      </c>
    </row>
    <row r="95" customFormat="false" ht="15" hidden="false" customHeight="false" outlineLevel="0" collapsed="false">
      <c r="A95" s="25" t="str">
        <f aca="false">IF($H95="","",INDEX(Register!$A$11:$A$510,MATCH($H95,Register!$J$11:$J$510,0))&amp;"")</f>
        <v/>
      </c>
      <c r="B95" s="25" t="str">
        <f aca="false">IF($H95="","",INDEX(Register!$B$11:$B$510,MATCH($H95,Register!$J$11:$J$510,0))&amp;"")</f>
        <v/>
      </c>
      <c r="C95" s="25" t="str">
        <f aca="false">IF($H95="","",INDEX(Register!$C$11:$C$510,MATCH($H95,Register!$J$11:$J$510,0))&amp;"")</f>
        <v/>
      </c>
      <c r="D95" s="26" t="str">
        <f aca="false">IF($H95="","",IF(ISNUMBER(INDEX(Register!$D$11:$D$510,MATCH($H95,Register!$J$11:$J$510,0))),INDEX(Register!$D$11:$D$510,MATCH($H95,Register!$J$11:$J$510,0)),INDEX(Register!$D$11:$D$510,MATCH($H95,Register!$J$11:$J$510,0))&amp;""))</f>
        <v/>
      </c>
      <c r="E95" s="25" t="str">
        <f aca="false">IF($H95="","",IF(ISNUMBER(INDEX(Register!$E$11:$E$510,MATCH($H95,Register!$J$11:$J$510,0))),INDEX(Register!$E$11:$E$510,MATCH($H95,Register!$J$11:$J$510,0))&amp;" mo",INDEX(Register!$E$11:$E$510,MATCH($H95,Register!$J$11:$J$510,0))&amp;""))</f>
        <v/>
      </c>
      <c r="F95" s="26" t="str">
        <f aca="false">IF($H95="","",INDEX(Register!$F$11:$F$510,MATCH($H95,Register!$J$11:$J$510,0)))</f>
        <v/>
      </c>
      <c r="G95" s="27" t="str">
        <f aca="false">IF($H95="","",IF(INDEX(Register!$G$11:$G$510,MATCH($H95,Register!$J$11:$J$510,0))="Check details","Check details: "&amp;INDEX(Register!$I$11:$I$510,MATCH($H95,Register!$J$11:$J$510,0)),INDEX(Register!$G$11:$G$510,MATCH($H95,Register!$J$11:$J$510,0))))</f>
        <v/>
      </c>
      <c r="H95" s="28" t="str">
        <f aca="false">IF(89&gt;COUNT(Register!$J$11:$J$510),"",SMALL(Register!$J$11:$J$510,89))</f>
        <v/>
      </c>
    </row>
    <row r="96" customFormat="false" ht="15" hidden="false" customHeight="false" outlineLevel="0" collapsed="false">
      <c r="A96" s="25" t="str">
        <f aca="false">IF($H96="","",INDEX(Register!$A$11:$A$510,MATCH($H96,Register!$J$11:$J$510,0))&amp;"")</f>
        <v/>
      </c>
      <c r="B96" s="25" t="str">
        <f aca="false">IF($H96="","",INDEX(Register!$B$11:$B$510,MATCH($H96,Register!$J$11:$J$510,0))&amp;"")</f>
        <v/>
      </c>
      <c r="C96" s="25" t="str">
        <f aca="false">IF($H96="","",INDEX(Register!$C$11:$C$510,MATCH($H96,Register!$J$11:$J$510,0))&amp;"")</f>
        <v/>
      </c>
      <c r="D96" s="26" t="str">
        <f aca="false">IF($H96="","",IF(ISNUMBER(INDEX(Register!$D$11:$D$510,MATCH($H96,Register!$J$11:$J$510,0))),INDEX(Register!$D$11:$D$510,MATCH($H96,Register!$J$11:$J$510,0)),INDEX(Register!$D$11:$D$510,MATCH($H96,Register!$J$11:$J$510,0))&amp;""))</f>
        <v/>
      </c>
      <c r="E96" s="25" t="str">
        <f aca="false">IF($H96="","",IF(ISNUMBER(INDEX(Register!$E$11:$E$510,MATCH($H96,Register!$J$11:$J$510,0))),INDEX(Register!$E$11:$E$510,MATCH($H96,Register!$J$11:$J$510,0))&amp;" mo",INDEX(Register!$E$11:$E$510,MATCH($H96,Register!$J$11:$J$510,0))&amp;""))</f>
        <v/>
      </c>
      <c r="F96" s="26" t="str">
        <f aca="false">IF($H96="","",INDEX(Register!$F$11:$F$510,MATCH($H96,Register!$J$11:$J$510,0)))</f>
        <v/>
      </c>
      <c r="G96" s="27" t="str">
        <f aca="false">IF($H96="","",IF(INDEX(Register!$G$11:$G$510,MATCH($H96,Register!$J$11:$J$510,0))="Check details","Check details: "&amp;INDEX(Register!$I$11:$I$510,MATCH($H96,Register!$J$11:$J$510,0)),INDEX(Register!$G$11:$G$510,MATCH($H96,Register!$J$11:$J$510,0))))</f>
        <v/>
      </c>
      <c r="H96" s="28" t="str">
        <f aca="false">IF(90&gt;COUNT(Register!$J$11:$J$510),"",SMALL(Register!$J$11:$J$510,90))</f>
        <v/>
      </c>
    </row>
    <row r="97" customFormat="false" ht="15" hidden="false" customHeight="false" outlineLevel="0" collapsed="false">
      <c r="A97" s="25" t="str">
        <f aca="false">IF($H97="","",INDEX(Register!$A$11:$A$510,MATCH($H97,Register!$J$11:$J$510,0))&amp;"")</f>
        <v/>
      </c>
      <c r="B97" s="25" t="str">
        <f aca="false">IF($H97="","",INDEX(Register!$B$11:$B$510,MATCH($H97,Register!$J$11:$J$510,0))&amp;"")</f>
        <v/>
      </c>
      <c r="C97" s="25" t="str">
        <f aca="false">IF($H97="","",INDEX(Register!$C$11:$C$510,MATCH($H97,Register!$J$11:$J$510,0))&amp;"")</f>
        <v/>
      </c>
      <c r="D97" s="26" t="str">
        <f aca="false">IF($H97="","",IF(ISNUMBER(INDEX(Register!$D$11:$D$510,MATCH($H97,Register!$J$11:$J$510,0))),INDEX(Register!$D$11:$D$510,MATCH($H97,Register!$J$11:$J$510,0)),INDEX(Register!$D$11:$D$510,MATCH($H97,Register!$J$11:$J$510,0))&amp;""))</f>
        <v/>
      </c>
      <c r="E97" s="25" t="str">
        <f aca="false">IF($H97="","",IF(ISNUMBER(INDEX(Register!$E$11:$E$510,MATCH($H97,Register!$J$11:$J$510,0))),INDEX(Register!$E$11:$E$510,MATCH($H97,Register!$J$11:$J$510,0))&amp;" mo",INDEX(Register!$E$11:$E$510,MATCH($H97,Register!$J$11:$J$510,0))&amp;""))</f>
        <v/>
      </c>
      <c r="F97" s="26" t="str">
        <f aca="false">IF($H97="","",INDEX(Register!$F$11:$F$510,MATCH($H97,Register!$J$11:$J$510,0)))</f>
        <v/>
      </c>
      <c r="G97" s="27" t="str">
        <f aca="false">IF($H97="","",IF(INDEX(Register!$G$11:$G$510,MATCH($H97,Register!$J$11:$J$510,0))="Check details","Check details: "&amp;INDEX(Register!$I$11:$I$510,MATCH($H97,Register!$J$11:$J$510,0)),INDEX(Register!$G$11:$G$510,MATCH($H97,Register!$J$11:$J$510,0))))</f>
        <v/>
      </c>
      <c r="H97" s="28" t="str">
        <f aca="false">IF(91&gt;COUNT(Register!$J$11:$J$510),"",SMALL(Register!$J$11:$J$510,91))</f>
        <v/>
      </c>
    </row>
    <row r="98" customFormat="false" ht="15" hidden="false" customHeight="false" outlineLevel="0" collapsed="false">
      <c r="A98" s="25" t="str">
        <f aca="false">IF($H98="","",INDEX(Register!$A$11:$A$510,MATCH($H98,Register!$J$11:$J$510,0))&amp;"")</f>
        <v/>
      </c>
      <c r="B98" s="25" t="str">
        <f aca="false">IF($H98="","",INDEX(Register!$B$11:$B$510,MATCH($H98,Register!$J$11:$J$510,0))&amp;"")</f>
        <v/>
      </c>
      <c r="C98" s="25" t="str">
        <f aca="false">IF($H98="","",INDEX(Register!$C$11:$C$510,MATCH($H98,Register!$J$11:$J$510,0))&amp;"")</f>
        <v/>
      </c>
      <c r="D98" s="26" t="str">
        <f aca="false">IF($H98="","",IF(ISNUMBER(INDEX(Register!$D$11:$D$510,MATCH($H98,Register!$J$11:$J$510,0))),INDEX(Register!$D$11:$D$510,MATCH($H98,Register!$J$11:$J$510,0)),INDEX(Register!$D$11:$D$510,MATCH($H98,Register!$J$11:$J$510,0))&amp;""))</f>
        <v/>
      </c>
      <c r="E98" s="25" t="str">
        <f aca="false">IF($H98="","",IF(ISNUMBER(INDEX(Register!$E$11:$E$510,MATCH($H98,Register!$J$11:$J$510,0))),INDEX(Register!$E$11:$E$510,MATCH($H98,Register!$J$11:$J$510,0))&amp;" mo",INDEX(Register!$E$11:$E$510,MATCH($H98,Register!$J$11:$J$510,0))&amp;""))</f>
        <v/>
      </c>
      <c r="F98" s="26" t="str">
        <f aca="false">IF($H98="","",INDEX(Register!$F$11:$F$510,MATCH($H98,Register!$J$11:$J$510,0)))</f>
        <v/>
      </c>
      <c r="G98" s="27" t="str">
        <f aca="false">IF($H98="","",IF(INDEX(Register!$G$11:$G$510,MATCH($H98,Register!$J$11:$J$510,0))="Check details","Check details: "&amp;INDEX(Register!$I$11:$I$510,MATCH($H98,Register!$J$11:$J$510,0)),INDEX(Register!$G$11:$G$510,MATCH($H98,Register!$J$11:$J$510,0))))</f>
        <v/>
      </c>
      <c r="H98" s="28" t="str">
        <f aca="false">IF(92&gt;COUNT(Register!$J$11:$J$510),"",SMALL(Register!$J$11:$J$510,92))</f>
        <v/>
      </c>
    </row>
    <row r="99" customFormat="false" ht="15" hidden="false" customHeight="false" outlineLevel="0" collapsed="false">
      <c r="A99" s="25" t="str">
        <f aca="false">IF($H99="","",INDEX(Register!$A$11:$A$510,MATCH($H99,Register!$J$11:$J$510,0))&amp;"")</f>
        <v/>
      </c>
      <c r="B99" s="25" t="str">
        <f aca="false">IF($H99="","",INDEX(Register!$B$11:$B$510,MATCH($H99,Register!$J$11:$J$510,0))&amp;"")</f>
        <v/>
      </c>
      <c r="C99" s="25" t="str">
        <f aca="false">IF($H99="","",INDEX(Register!$C$11:$C$510,MATCH($H99,Register!$J$11:$J$510,0))&amp;"")</f>
        <v/>
      </c>
      <c r="D99" s="26" t="str">
        <f aca="false">IF($H99="","",IF(ISNUMBER(INDEX(Register!$D$11:$D$510,MATCH($H99,Register!$J$11:$J$510,0))),INDEX(Register!$D$11:$D$510,MATCH($H99,Register!$J$11:$J$510,0)),INDEX(Register!$D$11:$D$510,MATCH($H99,Register!$J$11:$J$510,0))&amp;""))</f>
        <v/>
      </c>
      <c r="E99" s="25" t="str">
        <f aca="false">IF($H99="","",IF(ISNUMBER(INDEX(Register!$E$11:$E$510,MATCH($H99,Register!$J$11:$J$510,0))),INDEX(Register!$E$11:$E$510,MATCH($H99,Register!$J$11:$J$510,0))&amp;" mo",INDEX(Register!$E$11:$E$510,MATCH($H99,Register!$J$11:$J$510,0))&amp;""))</f>
        <v/>
      </c>
      <c r="F99" s="26" t="str">
        <f aca="false">IF($H99="","",INDEX(Register!$F$11:$F$510,MATCH($H99,Register!$J$11:$J$510,0)))</f>
        <v/>
      </c>
      <c r="G99" s="27" t="str">
        <f aca="false">IF($H99="","",IF(INDEX(Register!$G$11:$G$510,MATCH($H99,Register!$J$11:$J$510,0))="Check details","Check details: "&amp;INDEX(Register!$I$11:$I$510,MATCH($H99,Register!$J$11:$J$510,0)),INDEX(Register!$G$11:$G$510,MATCH($H99,Register!$J$11:$J$510,0))))</f>
        <v/>
      </c>
      <c r="H99" s="28" t="str">
        <f aca="false">IF(93&gt;COUNT(Register!$J$11:$J$510),"",SMALL(Register!$J$11:$J$510,93))</f>
        <v/>
      </c>
    </row>
    <row r="100" customFormat="false" ht="15" hidden="false" customHeight="false" outlineLevel="0" collapsed="false">
      <c r="A100" s="25" t="str">
        <f aca="false">IF($H100="","",INDEX(Register!$A$11:$A$510,MATCH($H100,Register!$J$11:$J$510,0))&amp;"")</f>
        <v/>
      </c>
      <c r="B100" s="25" t="str">
        <f aca="false">IF($H100="","",INDEX(Register!$B$11:$B$510,MATCH($H100,Register!$J$11:$J$510,0))&amp;"")</f>
        <v/>
      </c>
      <c r="C100" s="25" t="str">
        <f aca="false">IF($H100="","",INDEX(Register!$C$11:$C$510,MATCH($H100,Register!$J$11:$J$510,0))&amp;"")</f>
        <v/>
      </c>
      <c r="D100" s="26" t="str">
        <f aca="false">IF($H100="","",IF(ISNUMBER(INDEX(Register!$D$11:$D$510,MATCH($H100,Register!$J$11:$J$510,0))),INDEX(Register!$D$11:$D$510,MATCH($H100,Register!$J$11:$J$510,0)),INDEX(Register!$D$11:$D$510,MATCH($H100,Register!$J$11:$J$510,0))&amp;""))</f>
        <v/>
      </c>
      <c r="E100" s="25" t="str">
        <f aca="false">IF($H100="","",IF(ISNUMBER(INDEX(Register!$E$11:$E$510,MATCH($H100,Register!$J$11:$J$510,0))),INDEX(Register!$E$11:$E$510,MATCH($H100,Register!$J$11:$J$510,0))&amp;" mo",INDEX(Register!$E$11:$E$510,MATCH($H100,Register!$J$11:$J$510,0))&amp;""))</f>
        <v/>
      </c>
      <c r="F100" s="26" t="str">
        <f aca="false">IF($H100="","",INDEX(Register!$F$11:$F$510,MATCH($H100,Register!$J$11:$J$510,0)))</f>
        <v/>
      </c>
      <c r="G100" s="27" t="str">
        <f aca="false">IF($H100="","",IF(INDEX(Register!$G$11:$G$510,MATCH($H100,Register!$J$11:$J$510,0))="Check details","Check details: "&amp;INDEX(Register!$I$11:$I$510,MATCH($H100,Register!$J$11:$J$510,0)),INDEX(Register!$G$11:$G$510,MATCH($H100,Register!$J$11:$J$510,0))))</f>
        <v/>
      </c>
      <c r="H100" s="28" t="str">
        <f aca="false">IF(94&gt;COUNT(Register!$J$11:$J$510),"",SMALL(Register!$J$11:$J$510,94))</f>
        <v/>
      </c>
    </row>
    <row r="101" customFormat="false" ht="15" hidden="false" customHeight="false" outlineLevel="0" collapsed="false">
      <c r="A101" s="25" t="str">
        <f aca="false">IF($H101="","",INDEX(Register!$A$11:$A$510,MATCH($H101,Register!$J$11:$J$510,0))&amp;"")</f>
        <v/>
      </c>
      <c r="B101" s="25" t="str">
        <f aca="false">IF($H101="","",INDEX(Register!$B$11:$B$510,MATCH($H101,Register!$J$11:$J$510,0))&amp;"")</f>
        <v/>
      </c>
      <c r="C101" s="25" t="str">
        <f aca="false">IF($H101="","",INDEX(Register!$C$11:$C$510,MATCH($H101,Register!$J$11:$J$510,0))&amp;"")</f>
        <v/>
      </c>
      <c r="D101" s="26" t="str">
        <f aca="false">IF($H101="","",IF(ISNUMBER(INDEX(Register!$D$11:$D$510,MATCH($H101,Register!$J$11:$J$510,0))),INDEX(Register!$D$11:$D$510,MATCH($H101,Register!$J$11:$J$510,0)),INDEX(Register!$D$11:$D$510,MATCH($H101,Register!$J$11:$J$510,0))&amp;""))</f>
        <v/>
      </c>
      <c r="E101" s="25" t="str">
        <f aca="false">IF($H101="","",IF(ISNUMBER(INDEX(Register!$E$11:$E$510,MATCH($H101,Register!$J$11:$J$510,0))),INDEX(Register!$E$11:$E$510,MATCH($H101,Register!$J$11:$J$510,0))&amp;" mo",INDEX(Register!$E$11:$E$510,MATCH($H101,Register!$J$11:$J$510,0))&amp;""))</f>
        <v/>
      </c>
      <c r="F101" s="26" t="str">
        <f aca="false">IF($H101="","",INDEX(Register!$F$11:$F$510,MATCH($H101,Register!$J$11:$J$510,0)))</f>
        <v/>
      </c>
      <c r="G101" s="27" t="str">
        <f aca="false">IF($H101="","",IF(INDEX(Register!$G$11:$G$510,MATCH($H101,Register!$J$11:$J$510,0))="Check details","Check details: "&amp;INDEX(Register!$I$11:$I$510,MATCH($H101,Register!$J$11:$J$510,0)),INDEX(Register!$G$11:$G$510,MATCH($H101,Register!$J$11:$J$510,0))))</f>
        <v/>
      </c>
      <c r="H101" s="28" t="str">
        <f aca="false">IF(95&gt;COUNT(Register!$J$11:$J$510),"",SMALL(Register!$J$11:$J$510,95))</f>
        <v/>
      </c>
    </row>
    <row r="102" customFormat="false" ht="15" hidden="false" customHeight="false" outlineLevel="0" collapsed="false">
      <c r="A102" s="25" t="str">
        <f aca="false">IF($H102="","",INDEX(Register!$A$11:$A$510,MATCH($H102,Register!$J$11:$J$510,0))&amp;"")</f>
        <v/>
      </c>
      <c r="B102" s="25" t="str">
        <f aca="false">IF($H102="","",INDEX(Register!$B$11:$B$510,MATCH($H102,Register!$J$11:$J$510,0))&amp;"")</f>
        <v/>
      </c>
      <c r="C102" s="25" t="str">
        <f aca="false">IF($H102="","",INDEX(Register!$C$11:$C$510,MATCH($H102,Register!$J$11:$J$510,0))&amp;"")</f>
        <v/>
      </c>
      <c r="D102" s="26" t="str">
        <f aca="false">IF($H102="","",IF(ISNUMBER(INDEX(Register!$D$11:$D$510,MATCH($H102,Register!$J$11:$J$510,0))),INDEX(Register!$D$11:$D$510,MATCH($H102,Register!$J$11:$J$510,0)),INDEX(Register!$D$11:$D$510,MATCH($H102,Register!$J$11:$J$510,0))&amp;""))</f>
        <v/>
      </c>
      <c r="E102" s="25" t="str">
        <f aca="false">IF($H102="","",IF(ISNUMBER(INDEX(Register!$E$11:$E$510,MATCH($H102,Register!$J$11:$J$510,0))),INDEX(Register!$E$11:$E$510,MATCH($H102,Register!$J$11:$J$510,0))&amp;" mo",INDEX(Register!$E$11:$E$510,MATCH($H102,Register!$J$11:$J$510,0))&amp;""))</f>
        <v/>
      </c>
      <c r="F102" s="26" t="str">
        <f aca="false">IF($H102="","",INDEX(Register!$F$11:$F$510,MATCH($H102,Register!$J$11:$J$510,0)))</f>
        <v/>
      </c>
      <c r="G102" s="27" t="str">
        <f aca="false">IF($H102="","",IF(INDEX(Register!$G$11:$G$510,MATCH($H102,Register!$J$11:$J$510,0))="Check details","Check details: "&amp;INDEX(Register!$I$11:$I$510,MATCH($H102,Register!$J$11:$J$510,0)),INDEX(Register!$G$11:$G$510,MATCH($H102,Register!$J$11:$J$510,0))))</f>
        <v/>
      </c>
      <c r="H102" s="28" t="str">
        <f aca="false">IF(96&gt;COUNT(Register!$J$11:$J$510),"",SMALL(Register!$J$11:$J$510,96))</f>
        <v/>
      </c>
    </row>
    <row r="103" customFormat="false" ht="15" hidden="false" customHeight="false" outlineLevel="0" collapsed="false">
      <c r="A103" s="25" t="str">
        <f aca="false">IF($H103="","",INDEX(Register!$A$11:$A$510,MATCH($H103,Register!$J$11:$J$510,0))&amp;"")</f>
        <v/>
      </c>
      <c r="B103" s="25" t="str">
        <f aca="false">IF($H103="","",INDEX(Register!$B$11:$B$510,MATCH($H103,Register!$J$11:$J$510,0))&amp;"")</f>
        <v/>
      </c>
      <c r="C103" s="25" t="str">
        <f aca="false">IF($H103="","",INDEX(Register!$C$11:$C$510,MATCH($H103,Register!$J$11:$J$510,0))&amp;"")</f>
        <v/>
      </c>
      <c r="D103" s="26" t="str">
        <f aca="false">IF($H103="","",IF(ISNUMBER(INDEX(Register!$D$11:$D$510,MATCH($H103,Register!$J$11:$J$510,0))),INDEX(Register!$D$11:$D$510,MATCH($H103,Register!$J$11:$J$510,0)),INDEX(Register!$D$11:$D$510,MATCH($H103,Register!$J$11:$J$510,0))&amp;""))</f>
        <v/>
      </c>
      <c r="E103" s="25" t="str">
        <f aca="false">IF($H103="","",IF(ISNUMBER(INDEX(Register!$E$11:$E$510,MATCH($H103,Register!$J$11:$J$510,0))),INDEX(Register!$E$11:$E$510,MATCH($H103,Register!$J$11:$J$510,0))&amp;" mo",INDEX(Register!$E$11:$E$510,MATCH($H103,Register!$J$11:$J$510,0))&amp;""))</f>
        <v/>
      </c>
      <c r="F103" s="26" t="str">
        <f aca="false">IF($H103="","",INDEX(Register!$F$11:$F$510,MATCH($H103,Register!$J$11:$J$510,0)))</f>
        <v/>
      </c>
      <c r="G103" s="27" t="str">
        <f aca="false">IF($H103="","",IF(INDEX(Register!$G$11:$G$510,MATCH($H103,Register!$J$11:$J$510,0))="Check details","Check details: "&amp;INDEX(Register!$I$11:$I$510,MATCH($H103,Register!$J$11:$J$510,0)),INDEX(Register!$G$11:$G$510,MATCH($H103,Register!$J$11:$J$510,0))))</f>
        <v/>
      </c>
      <c r="H103" s="28" t="str">
        <f aca="false">IF(97&gt;COUNT(Register!$J$11:$J$510),"",SMALL(Register!$J$11:$J$510,97))</f>
        <v/>
      </c>
    </row>
    <row r="104" customFormat="false" ht="15" hidden="false" customHeight="false" outlineLevel="0" collapsed="false">
      <c r="A104" s="25" t="str">
        <f aca="false">IF($H104="","",INDEX(Register!$A$11:$A$510,MATCH($H104,Register!$J$11:$J$510,0))&amp;"")</f>
        <v/>
      </c>
      <c r="B104" s="25" t="str">
        <f aca="false">IF($H104="","",INDEX(Register!$B$11:$B$510,MATCH($H104,Register!$J$11:$J$510,0))&amp;"")</f>
        <v/>
      </c>
      <c r="C104" s="25" t="str">
        <f aca="false">IF($H104="","",INDEX(Register!$C$11:$C$510,MATCH($H104,Register!$J$11:$J$510,0))&amp;"")</f>
        <v/>
      </c>
      <c r="D104" s="26" t="str">
        <f aca="false">IF($H104="","",IF(ISNUMBER(INDEX(Register!$D$11:$D$510,MATCH($H104,Register!$J$11:$J$510,0))),INDEX(Register!$D$11:$D$510,MATCH($H104,Register!$J$11:$J$510,0)),INDEX(Register!$D$11:$D$510,MATCH($H104,Register!$J$11:$J$510,0))&amp;""))</f>
        <v/>
      </c>
      <c r="E104" s="25" t="str">
        <f aca="false">IF($H104="","",IF(ISNUMBER(INDEX(Register!$E$11:$E$510,MATCH($H104,Register!$J$11:$J$510,0))),INDEX(Register!$E$11:$E$510,MATCH($H104,Register!$J$11:$J$510,0))&amp;" mo",INDEX(Register!$E$11:$E$510,MATCH($H104,Register!$J$11:$J$510,0))&amp;""))</f>
        <v/>
      </c>
      <c r="F104" s="26" t="str">
        <f aca="false">IF($H104="","",INDEX(Register!$F$11:$F$510,MATCH($H104,Register!$J$11:$J$510,0)))</f>
        <v/>
      </c>
      <c r="G104" s="27" t="str">
        <f aca="false">IF($H104="","",IF(INDEX(Register!$G$11:$G$510,MATCH($H104,Register!$J$11:$J$510,0))="Check details","Check details: "&amp;INDEX(Register!$I$11:$I$510,MATCH($H104,Register!$J$11:$J$510,0)),INDEX(Register!$G$11:$G$510,MATCH($H104,Register!$J$11:$J$510,0))))</f>
        <v/>
      </c>
      <c r="H104" s="28" t="str">
        <f aca="false">IF(98&gt;COUNT(Register!$J$11:$J$510),"",SMALL(Register!$J$11:$J$510,98))</f>
        <v/>
      </c>
    </row>
    <row r="105" customFormat="false" ht="15" hidden="false" customHeight="false" outlineLevel="0" collapsed="false">
      <c r="A105" s="25" t="str">
        <f aca="false">IF($H105="","",INDEX(Register!$A$11:$A$510,MATCH($H105,Register!$J$11:$J$510,0))&amp;"")</f>
        <v/>
      </c>
      <c r="B105" s="25" t="str">
        <f aca="false">IF($H105="","",INDEX(Register!$B$11:$B$510,MATCH($H105,Register!$J$11:$J$510,0))&amp;"")</f>
        <v/>
      </c>
      <c r="C105" s="25" t="str">
        <f aca="false">IF($H105="","",INDEX(Register!$C$11:$C$510,MATCH($H105,Register!$J$11:$J$510,0))&amp;"")</f>
        <v/>
      </c>
      <c r="D105" s="26" t="str">
        <f aca="false">IF($H105="","",IF(ISNUMBER(INDEX(Register!$D$11:$D$510,MATCH($H105,Register!$J$11:$J$510,0))),INDEX(Register!$D$11:$D$510,MATCH($H105,Register!$J$11:$J$510,0)),INDEX(Register!$D$11:$D$510,MATCH($H105,Register!$J$11:$J$510,0))&amp;""))</f>
        <v/>
      </c>
      <c r="E105" s="25" t="str">
        <f aca="false">IF($H105="","",IF(ISNUMBER(INDEX(Register!$E$11:$E$510,MATCH($H105,Register!$J$11:$J$510,0))),INDEX(Register!$E$11:$E$510,MATCH($H105,Register!$J$11:$J$510,0))&amp;" mo",INDEX(Register!$E$11:$E$510,MATCH($H105,Register!$J$11:$J$510,0))&amp;""))</f>
        <v/>
      </c>
      <c r="F105" s="26" t="str">
        <f aca="false">IF($H105="","",INDEX(Register!$F$11:$F$510,MATCH($H105,Register!$J$11:$J$510,0)))</f>
        <v/>
      </c>
      <c r="G105" s="27" t="str">
        <f aca="false">IF($H105="","",IF(INDEX(Register!$G$11:$G$510,MATCH($H105,Register!$J$11:$J$510,0))="Check details","Check details: "&amp;INDEX(Register!$I$11:$I$510,MATCH($H105,Register!$J$11:$J$510,0)),INDEX(Register!$G$11:$G$510,MATCH($H105,Register!$J$11:$J$510,0))))</f>
        <v/>
      </c>
      <c r="H105" s="28" t="str">
        <f aca="false">IF(99&gt;COUNT(Register!$J$11:$J$510),"",SMALL(Register!$J$11:$J$510,99))</f>
        <v/>
      </c>
    </row>
    <row r="106" customFormat="false" ht="15" hidden="false" customHeight="false" outlineLevel="0" collapsed="false">
      <c r="A106" s="25" t="str">
        <f aca="false">IF($H106="","",INDEX(Register!$A$11:$A$510,MATCH($H106,Register!$J$11:$J$510,0))&amp;"")</f>
        <v/>
      </c>
      <c r="B106" s="25" t="str">
        <f aca="false">IF($H106="","",INDEX(Register!$B$11:$B$510,MATCH($H106,Register!$J$11:$J$510,0))&amp;"")</f>
        <v/>
      </c>
      <c r="C106" s="25" t="str">
        <f aca="false">IF($H106="","",INDEX(Register!$C$11:$C$510,MATCH($H106,Register!$J$11:$J$510,0))&amp;"")</f>
        <v/>
      </c>
      <c r="D106" s="26" t="str">
        <f aca="false">IF($H106="","",IF(ISNUMBER(INDEX(Register!$D$11:$D$510,MATCH($H106,Register!$J$11:$J$510,0))),INDEX(Register!$D$11:$D$510,MATCH($H106,Register!$J$11:$J$510,0)),INDEX(Register!$D$11:$D$510,MATCH($H106,Register!$J$11:$J$510,0))&amp;""))</f>
        <v/>
      </c>
      <c r="E106" s="25" t="str">
        <f aca="false">IF($H106="","",IF(ISNUMBER(INDEX(Register!$E$11:$E$510,MATCH($H106,Register!$J$11:$J$510,0))),INDEX(Register!$E$11:$E$510,MATCH($H106,Register!$J$11:$J$510,0))&amp;" mo",INDEX(Register!$E$11:$E$510,MATCH($H106,Register!$J$11:$J$510,0))&amp;""))</f>
        <v/>
      </c>
      <c r="F106" s="26" t="str">
        <f aca="false">IF($H106="","",INDEX(Register!$F$11:$F$510,MATCH($H106,Register!$J$11:$J$510,0)))</f>
        <v/>
      </c>
      <c r="G106" s="27" t="str">
        <f aca="false">IF($H106="","",IF(INDEX(Register!$G$11:$G$510,MATCH($H106,Register!$J$11:$J$510,0))="Check details","Check details: "&amp;INDEX(Register!$I$11:$I$510,MATCH($H106,Register!$J$11:$J$510,0)),INDEX(Register!$G$11:$G$510,MATCH($H106,Register!$J$11:$J$510,0))))</f>
        <v/>
      </c>
      <c r="H106" s="28" t="str">
        <f aca="false">IF(100&gt;COUNT(Register!$J$11:$J$510),"",SMALL(Register!$J$11:$J$510,100))</f>
        <v/>
      </c>
    </row>
    <row r="107" customFormat="false" ht="15" hidden="false" customHeight="false" outlineLevel="0" collapsed="false">
      <c r="A107" s="25" t="str">
        <f aca="false">IF($H107="","",INDEX(Register!$A$11:$A$510,MATCH($H107,Register!$J$11:$J$510,0))&amp;"")</f>
        <v/>
      </c>
      <c r="B107" s="25" t="str">
        <f aca="false">IF($H107="","",INDEX(Register!$B$11:$B$510,MATCH($H107,Register!$J$11:$J$510,0))&amp;"")</f>
        <v/>
      </c>
      <c r="C107" s="25" t="str">
        <f aca="false">IF($H107="","",INDEX(Register!$C$11:$C$510,MATCH($H107,Register!$J$11:$J$510,0))&amp;"")</f>
        <v/>
      </c>
      <c r="D107" s="26" t="str">
        <f aca="false">IF($H107="","",IF(ISNUMBER(INDEX(Register!$D$11:$D$510,MATCH($H107,Register!$J$11:$J$510,0))),INDEX(Register!$D$11:$D$510,MATCH($H107,Register!$J$11:$J$510,0)),INDEX(Register!$D$11:$D$510,MATCH($H107,Register!$J$11:$J$510,0))&amp;""))</f>
        <v/>
      </c>
      <c r="E107" s="25" t="str">
        <f aca="false">IF($H107="","",IF(ISNUMBER(INDEX(Register!$E$11:$E$510,MATCH($H107,Register!$J$11:$J$510,0))),INDEX(Register!$E$11:$E$510,MATCH($H107,Register!$J$11:$J$510,0))&amp;" mo",INDEX(Register!$E$11:$E$510,MATCH($H107,Register!$J$11:$J$510,0))&amp;""))</f>
        <v/>
      </c>
      <c r="F107" s="26" t="str">
        <f aca="false">IF($H107="","",INDEX(Register!$F$11:$F$510,MATCH($H107,Register!$J$11:$J$510,0)))</f>
        <v/>
      </c>
      <c r="G107" s="27" t="str">
        <f aca="false">IF($H107="","",IF(INDEX(Register!$G$11:$G$510,MATCH($H107,Register!$J$11:$J$510,0))="Check details","Check details: "&amp;INDEX(Register!$I$11:$I$510,MATCH($H107,Register!$J$11:$J$510,0)),INDEX(Register!$G$11:$G$510,MATCH($H107,Register!$J$11:$J$510,0))))</f>
        <v/>
      </c>
      <c r="H107" s="28" t="str">
        <f aca="false">IF(101&gt;COUNT(Register!$J$11:$J$510),"",SMALL(Register!$J$11:$J$510,101))</f>
        <v/>
      </c>
    </row>
    <row r="108" customFormat="false" ht="15" hidden="false" customHeight="false" outlineLevel="0" collapsed="false">
      <c r="A108" s="25" t="str">
        <f aca="false">IF($H108="","",INDEX(Register!$A$11:$A$510,MATCH($H108,Register!$J$11:$J$510,0))&amp;"")</f>
        <v/>
      </c>
      <c r="B108" s="25" t="str">
        <f aca="false">IF($H108="","",INDEX(Register!$B$11:$B$510,MATCH($H108,Register!$J$11:$J$510,0))&amp;"")</f>
        <v/>
      </c>
      <c r="C108" s="25" t="str">
        <f aca="false">IF($H108="","",INDEX(Register!$C$11:$C$510,MATCH($H108,Register!$J$11:$J$510,0))&amp;"")</f>
        <v/>
      </c>
      <c r="D108" s="26" t="str">
        <f aca="false">IF($H108="","",IF(ISNUMBER(INDEX(Register!$D$11:$D$510,MATCH($H108,Register!$J$11:$J$510,0))),INDEX(Register!$D$11:$D$510,MATCH($H108,Register!$J$11:$J$510,0)),INDEX(Register!$D$11:$D$510,MATCH($H108,Register!$J$11:$J$510,0))&amp;""))</f>
        <v/>
      </c>
      <c r="E108" s="25" t="str">
        <f aca="false">IF($H108="","",IF(ISNUMBER(INDEX(Register!$E$11:$E$510,MATCH($H108,Register!$J$11:$J$510,0))),INDEX(Register!$E$11:$E$510,MATCH($H108,Register!$J$11:$J$510,0))&amp;" mo",INDEX(Register!$E$11:$E$510,MATCH($H108,Register!$J$11:$J$510,0))&amp;""))</f>
        <v/>
      </c>
      <c r="F108" s="26" t="str">
        <f aca="false">IF($H108="","",INDEX(Register!$F$11:$F$510,MATCH($H108,Register!$J$11:$J$510,0)))</f>
        <v/>
      </c>
      <c r="G108" s="27" t="str">
        <f aca="false">IF($H108="","",IF(INDEX(Register!$G$11:$G$510,MATCH($H108,Register!$J$11:$J$510,0))="Check details","Check details: "&amp;INDEX(Register!$I$11:$I$510,MATCH($H108,Register!$J$11:$J$510,0)),INDEX(Register!$G$11:$G$510,MATCH($H108,Register!$J$11:$J$510,0))))</f>
        <v/>
      </c>
      <c r="H108" s="28" t="str">
        <f aca="false">IF(102&gt;COUNT(Register!$J$11:$J$510),"",SMALL(Register!$J$11:$J$510,102))</f>
        <v/>
      </c>
    </row>
    <row r="109" customFormat="false" ht="15" hidden="false" customHeight="false" outlineLevel="0" collapsed="false">
      <c r="A109" s="25" t="str">
        <f aca="false">IF($H109="","",INDEX(Register!$A$11:$A$510,MATCH($H109,Register!$J$11:$J$510,0))&amp;"")</f>
        <v/>
      </c>
      <c r="B109" s="25" t="str">
        <f aca="false">IF($H109="","",INDEX(Register!$B$11:$B$510,MATCH($H109,Register!$J$11:$J$510,0))&amp;"")</f>
        <v/>
      </c>
      <c r="C109" s="25" t="str">
        <f aca="false">IF($H109="","",INDEX(Register!$C$11:$C$510,MATCH($H109,Register!$J$11:$J$510,0))&amp;"")</f>
        <v/>
      </c>
      <c r="D109" s="26" t="str">
        <f aca="false">IF($H109="","",IF(ISNUMBER(INDEX(Register!$D$11:$D$510,MATCH($H109,Register!$J$11:$J$510,0))),INDEX(Register!$D$11:$D$510,MATCH($H109,Register!$J$11:$J$510,0)),INDEX(Register!$D$11:$D$510,MATCH($H109,Register!$J$11:$J$510,0))&amp;""))</f>
        <v/>
      </c>
      <c r="E109" s="25" t="str">
        <f aca="false">IF($H109="","",IF(ISNUMBER(INDEX(Register!$E$11:$E$510,MATCH($H109,Register!$J$11:$J$510,0))),INDEX(Register!$E$11:$E$510,MATCH($H109,Register!$J$11:$J$510,0))&amp;" mo",INDEX(Register!$E$11:$E$510,MATCH($H109,Register!$J$11:$J$510,0))&amp;""))</f>
        <v/>
      </c>
      <c r="F109" s="26" t="str">
        <f aca="false">IF($H109="","",INDEX(Register!$F$11:$F$510,MATCH($H109,Register!$J$11:$J$510,0)))</f>
        <v/>
      </c>
      <c r="G109" s="27" t="str">
        <f aca="false">IF($H109="","",IF(INDEX(Register!$G$11:$G$510,MATCH($H109,Register!$J$11:$J$510,0))="Check details","Check details: "&amp;INDEX(Register!$I$11:$I$510,MATCH($H109,Register!$J$11:$J$510,0)),INDEX(Register!$G$11:$G$510,MATCH($H109,Register!$J$11:$J$510,0))))</f>
        <v/>
      </c>
      <c r="H109" s="28" t="str">
        <f aca="false">IF(103&gt;COUNT(Register!$J$11:$J$510),"",SMALL(Register!$J$11:$J$510,103))</f>
        <v/>
      </c>
    </row>
    <row r="110" customFormat="false" ht="15" hidden="false" customHeight="false" outlineLevel="0" collapsed="false">
      <c r="A110" s="25" t="str">
        <f aca="false">IF($H110="","",INDEX(Register!$A$11:$A$510,MATCH($H110,Register!$J$11:$J$510,0))&amp;"")</f>
        <v/>
      </c>
      <c r="B110" s="25" t="str">
        <f aca="false">IF($H110="","",INDEX(Register!$B$11:$B$510,MATCH($H110,Register!$J$11:$J$510,0))&amp;"")</f>
        <v/>
      </c>
      <c r="C110" s="25" t="str">
        <f aca="false">IF($H110="","",INDEX(Register!$C$11:$C$510,MATCH($H110,Register!$J$11:$J$510,0))&amp;"")</f>
        <v/>
      </c>
      <c r="D110" s="26" t="str">
        <f aca="false">IF($H110="","",IF(ISNUMBER(INDEX(Register!$D$11:$D$510,MATCH($H110,Register!$J$11:$J$510,0))),INDEX(Register!$D$11:$D$510,MATCH($H110,Register!$J$11:$J$510,0)),INDEX(Register!$D$11:$D$510,MATCH($H110,Register!$J$11:$J$510,0))&amp;""))</f>
        <v/>
      </c>
      <c r="E110" s="25" t="str">
        <f aca="false">IF($H110="","",IF(ISNUMBER(INDEX(Register!$E$11:$E$510,MATCH($H110,Register!$J$11:$J$510,0))),INDEX(Register!$E$11:$E$510,MATCH($H110,Register!$J$11:$J$510,0))&amp;" mo",INDEX(Register!$E$11:$E$510,MATCH($H110,Register!$J$11:$J$510,0))&amp;""))</f>
        <v/>
      </c>
      <c r="F110" s="26" t="str">
        <f aca="false">IF($H110="","",INDEX(Register!$F$11:$F$510,MATCH($H110,Register!$J$11:$J$510,0)))</f>
        <v/>
      </c>
      <c r="G110" s="27" t="str">
        <f aca="false">IF($H110="","",IF(INDEX(Register!$G$11:$G$510,MATCH($H110,Register!$J$11:$J$510,0))="Check details","Check details: "&amp;INDEX(Register!$I$11:$I$510,MATCH($H110,Register!$J$11:$J$510,0)),INDEX(Register!$G$11:$G$510,MATCH($H110,Register!$J$11:$J$510,0))))</f>
        <v/>
      </c>
      <c r="H110" s="28" t="str">
        <f aca="false">IF(104&gt;COUNT(Register!$J$11:$J$510),"",SMALL(Register!$J$11:$J$510,104))</f>
        <v/>
      </c>
    </row>
    <row r="111" customFormat="false" ht="15" hidden="false" customHeight="false" outlineLevel="0" collapsed="false">
      <c r="A111" s="25" t="str">
        <f aca="false">IF($H111="","",INDEX(Register!$A$11:$A$510,MATCH($H111,Register!$J$11:$J$510,0))&amp;"")</f>
        <v/>
      </c>
      <c r="B111" s="25" t="str">
        <f aca="false">IF($H111="","",INDEX(Register!$B$11:$B$510,MATCH($H111,Register!$J$11:$J$510,0))&amp;"")</f>
        <v/>
      </c>
      <c r="C111" s="25" t="str">
        <f aca="false">IF($H111="","",INDEX(Register!$C$11:$C$510,MATCH($H111,Register!$J$11:$J$510,0))&amp;"")</f>
        <v/>
      </c>
      <c r="D111" s="26" t="str">
        <f aca="false">IF($H111="","",IF(ISNUMBER(INDEX(Register!$D$11:$D$510,MATCH($H111,Register!$J$11:$J$510,0))),INDEX(Register!$D$11:$D$510,MATCH($H111,Register!$J$11:$J$510,0)),INDEX(Register!$D$11:$D$510,MATCH($H111,Register!$J$11:$J$510,0))&amp;""))</f>
        <v/>
      </c>
      <c r="E111" s="25" t="str">
        <f aca="false">IF($H111="","",IF(ISNUMBER(INDEX(Register!$E$11:$E$510,MATCH($H111,Register!$J$11:$J$510,0))),INDEX(Register!$E$11:$E$510,MATCH($H111,Register!$J$11:$J$510,0))&amp;" mo",INDEX(Register!$E$11:$E$510,MATCH($H111,Register!$J$11:$J$510,0))&amp;""))</f>
        <v/>
      </c>
      <c r="F111" s="26" t="str">
        <f aca="false">IF($H111="","",INDEX(Register!$F$11:$F$510,MATCH($H111,Register!$J$11:$J$510,0)))</f>
        <v/>
      </c>
      <c r="G111" s="27" t="str">
        <f aca="false">IF($H111="","",IF(INDEX(Register!$G$11:$G$510,MATCH($H111,Register!$J$11:$J$510,0))="Check details","Check details: "&amp;INDEX(Register!$I$11:$I$510,MATCH($H111,Register!$J$11:$J$510,0)),INDEX(Register!$G$11:$G$510,MATCH($H111,Register!$J$11:$J$510,0))))</f>
        <v/>
      </c>
      <c r="H111" s="28" t="str">
        <f aca="false">IF(105&gt;COUNT(Register!$J$11:$J$510),"",SMALL(Register!$J$11:$J$510,105))</f>
        <v/>
      </c>
    </row>
    <row r="112" customFormat="false" ht="15" hidden="false" customHeight="false" outlineLevel="0" collapsed="false">
      <c r="A112" s="25" t="str">
        <f aca="false">IF($H112="","",INDEX(Register!$A$11:$A$510,MATCH($H112,Register!$J$11:$J$510,0))&amp;"")</f>
        <v/>
      </c>
      <c r="B112" s="25" t="str">
        <f aca="false">IF($H112="","",INDEX(Register!$B$11:$B$510,MATCH($H112,Register!$J$11:$J$510,0))&amp;"")</f>
        <v/>
      </c>
      <c r="C112" s="25" t="str">
        <f aca="false">IF($H112="","",INDEX(Register!$C$11:$C$510,MATCH($H112,Register!$J$11:$J$510,0))&amp;"")</f>
        <v/>
      </c>
      <c r="D112" s="26" t="str">
        <f aca="false">IF($H112="","",IF(ISNUMBER(INDEX(Register!$D$11:$D$510,MATCH($H112,Register!$J$11:$J$510,0))),INDEX(Register!$D$11:$D$510,MATCH($H112,Register!$J$11:$J$510,0)),INDEX(Register!$D$11:$D$510,MATCH($H112,Register!$J$11:$J$510,0))&amp;""))</f>
        <v/>
      </c>
      <c r="E112" s="25" t="str">
        <f aca="false">IF($H112="","",IF(ISNUMBER(INDEX(Register!$E$11:$E$510,MATCH($H112,Register!$J$11:$J$510,0))),INDEX(Register!$E$11:$E$510,MATCH($H112,Register!$J$11:$J$510,0))&amp;" mo",INDEX(Register!$E$11:$E$510,MATCH($H112,Register!$J$11:$J$510,0))&amp;""))</f>
        <v/>
      </c>
      <c r="F112" s="26" t="str">
        <f aca="false">IF($H112="","",INDEX(Register!$F$11:$F$510,MATCH($H112,Register!$J$11:$J$510,0)))</f>
        <v/>
      </c>
      <c r="G112" s="27" t="str">
        <f aca="false">IF($H112="","",IF(INDEX(Register!$G$11:$G$510,MATCH($H112,Register!$J$11:$J$510,0))="Check details","Check details: "&amp;INDEX(Register!$I$11:$I$510,MATCH($H112,Register!$J$11:$J$510,0)),INDEX(Register!$G$11:$G$510,MATCH($H112,Register!$J$11:$J$510,0))))</f>
        <v/>
      </c>
      <c r="H112" s="28" t="str">
        <f aca="false">IF(106&gt;COUNT(Register!$J$11:$J$510),"",SMALL(Register!$J$11:$J$510,106))</f>
        <v/>
      </c>
    </row>
    <row r="113" customFormat="false" ht="15" hidden="false" customHeight="false" outlineLevel="0" collapsed="false">
      <c r="A113" s="25" t="str">
        <f aca="false">IF($H113="","",INDEX(Register!$A$11:$A$510,MATCH($H113,Register!$J$11:$J$510,0))&amp;"")</f>
        <v/>
      </c>
      <c r="B113" s="25" t="str">
        <f aca="false">IF($H113="","",INDEX(Register!$B$11:$B$510,MATCH($H113,Register!$J$11:$J$510,0))&amp;"")</f>
        <v/>
      </c>
      <c r="C113" s="25" t="str">
        <f aca="false">IF($H113="","",INDEX(Register!$C$11:$C$510,MATCH($H113,Register!$J$11:$J$510,0))&amp;"")</f>
        <v/>
      </c>
      <c r="D113" s="26" t="str">
        <f aca="false">IF($H113="","",IF(ISNUMBER(INDEX(Register!$D$11:$D$510,MATCH($H113,Register!$J$11:$J$510,0))),INDEX(Register!$D$11:$D$510,MATCH($H113,Register!$J$11:$J$510,0)),INDEX(Register!$D$11:$D$510,MATCH($H113,Register!$J$11:$J$510,0))&amp;""))</f>
        <v/>
      </c>
      <c r="E113" s="25" t="str">
        <f aca="false">IF($H113="","",IF(ISNUMBER(INDEX(Register!$E$11:$E$510,MATCH($H113,Register!$J$11:$J$510,0))),INDEX(Register!$E$11:$E$510,MATCH($H113,Register!$J$11:$J$510,0))&amp;" mo",INDEX(Register!$E$11:$E$510,MATCH($H113,Register!$J$11:$J$510,0))&amp;""))</f>
        <v/>
      </c>
      <c r="F113" s="26" t="str">
        <f aca="false">IF($H113="","",INDEX(Register!$F$11:$F$510,MATCH($H113,Register!$J$11:$J$510,0)))</f>
        <v/>
      </c>
      <c r="G113" s="27" t="str">
        <f aca="false">IF($H113="","",IF(INDEX(Register!$G$11:$G$510,MATCH($H113,Register!$J$11:$J$510,0))="Check details","Check details: "&amp;INDEX(Register!$I$11:$I$510,MATCH($H113,Register!$J$11:$J$510,0)),INDEX(Register!$G$11:$G$510,MATCH($H113,Register!$J$11:$J$510,0))))</f>
        <v/>
      </c>
      <c r="H113" s="28" t="str">
        <f aca="false">IF(107&gt;COUNT(Register!$J$11:$J$510),"",SMALL(Register!$J$11:$J$510,107))</f>
        <v/>
      </c>
    </row>
    <row r="114" customFormat="false" ht="15" hidden="false" customHeight="false" outlineLevel="0" collapsed="false">
      <c r="A114" s="25" t="str">
        <f aca="false">IF($H114="","",INDEX(Register!$A$11:$A$510,MATCH($H114,Register!$J$11:$J$510,0))&amp;"")</f>
        <v/>
      </c>
      <c r="B114" s="25" t="str">
        <f aca="false">IF($H114="","",INDEX(Register!$B$11:$B$510,MATCH($H114,Register!$J$11:$J$510,0))&amp;"")</f>
        <v/>
      </c>
      <c r="C114" s="25" t="str">
        <f aca="false">IF($H114="","",INDEX(Register!$C$11:$C$510,MATCH($H114,Register!$J$11:$J$510,0))&amp;"")</f>
        <v/>
      </c>
      <c r="D114" s="26" t="str">
        <f aca="false">IF($H114="","",IF(ISNUMBER(INDEX(Register!$D$11:$D$510,MATCH($H114,Register!$J$11:$J$510,0))),INDEX(Register!$D$11:$D$510,MATCH($H114,Register!$J$11:$J$510,0)),INDEX(Register!$D$11:$D$510,MATCH($H114,Register!$J$11:$J$510,0))&amp;""))</f>
        <v/>
      </c>
      <c r="E114" s="25" t="str">
        <f aca="false">IF($H114="","",IF(ISNUMBER(INDEX(Register!$E$11:$E$510,MATCH($H114,Register!$J$11:$J$510,0))),INDEX(Register!$E$11:$E$510,MATCH($H114,Register!$J$11:$J$510,0))&amp;" mo",INDEX(Register!$E$11:$E$510,MATCH($H114,Register!$J$11:$J$510,0))&amp;""))</f>
        <v/>
      </c>
      <c r="F114" s="26" t="str">
        <f aca="false">IF($H114="","",INDEX(Register!$F$11:$F$510,MATCH($H114,Register!$J$11:$J$510,0)))</f>
        <v/>
      </c>
      <c r="G114" s="27" t="str">
        <f aca="false">IF($H114="","",IF(INDEX(Register!$G$11:$G$510,MATCH($H114,Register!$J$11:$J$510,0))="Check details","Check details: "&amp;INDEX(Register!$I$11:$I$510,MATCH($H114,Register!$J$11:$J$510,0)),INDEX(Register!$G$11:$G$510,MATCH($H114,Register!$J$11:$J$510,0))))</f>
        <v/>
      </c>
      <c r="H114" s="28" t="str">
        <f aca="false">IF(108&gt;COUNT(Register!$J$11:$J$510),"",SMALL(Register!$J$11:$J$510,108))</f>
        <v/>
      </c>
    </row>
    <row r="115" customFormat="false" ht="15" hidden="false" customHeight="false" outlineLevel="0" collapsed="false">
      <c r="A115" s="25" t="str">
        <f aca="false">IF($H115="","",INDEX(Register!$A$11:$A$510,MATCH($H115,Register!$J$11:$J$510,0))&amp;"")</f>
        <v/>
      </c>
      <c r="B115" s="25" t="str">
        <f aca="false">IF($H115="","",INDEX(Register!$B$11:$B$510,MATCH($H115,Register!$J$11:$J$510,0))&amp;"")</f>
        <v/>
      </c>
      <c r="C115" s="25" t="str">
        <f aca="false">IF($H115="","",INDEX(Register!$C$11:$C$510,MATCH($H115,Register!$J$11:$J$510,0))&amp;"")</f>
        <v/>
      </c>
      <c r="D115" s="26" t="str">
        <f aca="false">IF($H115="","",IF(ISNUMBER(INDEX(Register!$D$11:$D$510,MATCH($H115,Register!$J$11:$J$510,0))),INDEX(Register!$D$11:$D$510,MATCH($H115,Register!$J$11:$J$510,0)),INDEX(Register!$D$11:$D$510,MATCH($H115,Register!$J$11:$J$510,0))&amp;""))</f>
        <v/>
      </c>
      <c r="E115" s="25" t="str">
        <f aca="false">IF($H115="","",IF(ISNUMBER(INDEX(Register!$E$11:$E$510,MATCH($H115,Register!$J$11:$J$510,0))),INDEX(Register!$E$11:$E$510,MATCH($H115,Register!$J$11:$J$510,0))&amp;" mo",INDEX(Register!$E$11:$E$510,MATCH($H115,Register!$J$11:$J$510,0))&amp;""))</f>
        <v/>
      </c>
      <c r="F115" s="26" t="str">
        <f aca="false">IF($H115="","",INDEX(Register!$F$11:$F$510,MATCH($H115,Register!$J$11:$J$510,0)))</f>
        <v/>
      </c>
      <c r="G115" s="27" t="str">
        <f aca="false">IF($H115="","",IF(INDEX(Register!$G$11:$G$510,MATCH($H115,Register!$J$11:$J$510,0))="Check details","Check details: "&amp;INDEX(Register!$I$11:$I$510,MATCH($H115,Register!$J$11:$J$510,0)),INDEX(Register!$G$11:$G$510,MATCH($H115,Register!$J$11:$J$510,0))))</f>
        <v/>
      </c>
      <c r="H115" s="28" t="str">
        <f aca="false">IF(109&gt;COUNT(Register!$J$11:$J$510),"",SMALL(Register!$J$11:$J$510,109))</f>
        <v/>
      </c>
    </row>
    <row r="116" customFormat="false" ht="15" hidden="false" customHeight="false" outlineLevel="0" collapsed="false">
      <c r="A116" s="25" t="str">
        <f aca="false">IF($H116="","",INDEX(Register!$A$11:$A$510,MATCH($H116,Register!$J$11:$J$510,0))&amp;"")</f>
        <v/>
      </c>
      <c r="B116" s="25" t="str">
        <f aca="false">IF($H116="","",INDEX(Register!$B$11:$B$510,MATCH($H116,Register!$J$11:$J$510,0))&amp;"")</f>
        <v/>
      </c>
      <c r="C116" s="25" t="str">
        <f aca="false">IF($H116="","",INDEX(Register!$C$11:$C$510,MATCH($H116,Register!$J$11:$J$510,0))&amp;"")</f>
        <v/>
      </c>
      <c r="D116" s="26" t="str">
        <f aca="false">IF($H116="","",IF(ISNUMBER(INDEX(Register!$D$11:$D$510,MATCH($H116,Register!$J$11:$J$510,0))),INDEX(Register!$D$11:$D$510,MATCH($H116,Register!$J$11:$J$510,0)),INDEX(Register!$D$11:$D$510,MATCH($H116,Register!$J$11:$J$510,0))&amp;""))</f>
        <v/>
      </c>
      <c r="E116" s="25" t="str">
        <f aca="false">IF($H116="","",IF(ISNUMBER(INDEX(Register!$E$11:$E$510,MATCH($H116,Register!$J$11:$J$510,0))),INDEX(Register!$E$11:$E$510,MATCH($H116,Register!$J$11:$J$510,0))&amp;" mo",INDEX(Register!$E$11:$E$510,MATCH($H116,Register!$J$11:$J$510,0))&amp;""))</f>
        <v/>
      </c>
      <c r="F116" s="26" t="str">
        <f aca="false">IF($H116="","",INDEX(Register!$F$11:$F$510,MATCH($H116,Register!$J$11:$J$510,0)))</f>
        <v/>
      </c>
      <c r="G116" s="27" t="str">
        <f aca="false">IF($H116="","",IF(INDEX(Register!$G$11:$G$510,MATCH($H116,Register!$J$11:$J$510,0))="Check details","Check details: "&amp;INDEX(Register!$I$11:$I$510,MATCH($H116,Register!$J$11:$J$510,0)),INDEX(Register!$G$11:$G$510,MATCH($H116,Register!$J$11:$J$510,0))))</f>
        <v/>
      </c>
      <c r="H116" s="28" t="str">
        <f aca="false">IF(110&gt;COUNT(Register!$J$11:$J$510),"",SMALL(Register!$J$11:$J$510,110))</f>
        <v/>
      </c>
    </row>
    <row r="117" customFormat="false" ht="15" hidden="false" customHeight="false" outlineLevel="0" collapsed="false">
      <c r="A117" s="25" t="str">
        <f aca="false">IF($H117="","",INDEX(Register!$A$11:$A$510,MATCH($H117,Register!$J$11:$J$510,0))&amp;"")</f>
        <v/>
      </c>
      <c r="B117" s="25" t="str">
        <f aca="false">IF($H117="","",INDEX(Register!$B$11:$B$510,MATCH($H117,Register!$J$11:$J$510,0))&amp;"")</f>
        <v/>
      </c>
      <c r="C117" s="25" t="str">
        <f aca="false">IF($H117="","",INDEX(Register!$C$11:$C$510,MATCH($H117,Register!$J$11:$J$510,0))&amp;"")</f>
        <v/>
      </c>
      <c r="D117" s="26" t="str">
        <f aca="false">IF($H117="","",IF(ISNUMBER(INDEX(Register!$D$11:$D$510,MATCH($H117,Register!$J$11:$J$510,0))),INDEX(Register!$D$11:$D$510,MATCH($H117,Register!$J$11:$J$510,0)),INDEX(Register!$D$11:$D$510,MATCH($H117,Register!$J$11:$J$510,0))&amp;""))</f>
        <v/>
      </c>
      <c r="E117" s="25" t="str">
        <f aca="false">IF($H117="","",IF(ISNUMBER(INDEX(Register!$E$11:$E$510,MATCH($H117,Register!$J$11:$J$510,0))),INDEX(Register!$E$11:$E$510,MATCH($H117,Register!$J$11:$J$510,0))&amp;" mo",INDEX(Register!$E$11:$E$510,MATCH($H117,Register!$J$11:$J$510,0))&amp;""))</f>
        <v/>
      </c>
      <c r="F117" s="26" t="str">
        <f aca="false">IF($H117="","",INDEX(Register!$F$11:$F$510,MATCH($H117,Register!$J$11:$J$510,0)))</f>
        <v/>
      </c>
      <c r="G117" s="27" t="str">
        <f aca="false">IF($H117="","",IF(INDEX(Register!$G$11:$G$510,MATCH($H117,Register!$J$11:$J$510,0))="Check details","Check details: "&amp;INDEX(Register!$I$11:$I$510,MATCH($H117,Register!$J$11:$J$510,0)),INDEX(Register!$G$11:$G$510,MATCH($H117,Register!$J$11:$J$510,0))))</f>
        <v/>
      </c>
      <c r="H117" s="28" t="str">
        <f aca="false">IF(111&gt;COUNT(Register!$J$11:$J$510),"",SMALL(Register!$J$11:$J$510,111))</f>
        <v/>
      </c>
    </row>
    <row r="118" customFormat="false" ht="15" hidden="false" customHeight="false" outlineLevel="0" collapsed="false">
      <c r="A118" s="25" t="str">
        <f aca="false">IF($H118="","",INDEX(Register!$A$11:$A$510,MATCH($H118,Register!$J$11:$J$510,0))&amp;"")</f>
        <v/>
      </c>
      <c r="B118" s="25" t="str">
        <f aca="false">IF($H118="","",INDEX(Register!$B$11:$B$510,MATCH($H118,Register!$J$11:$J$510,0))&amp;"")</f>
        <v/>
      </c>
      <c r="C118" s="25" t="str">
        <f aca="false">IF($H118="","",INDEX(Register!$C$11:$C$510,MATCH($H118,Register!$J$11:$J$510,0))&amp;"")</f>
        <v/>
      </c>
      <c r="D118" s="26" t="str">
        <f aca="false">IF($H118="","",IF(ISNUMBER(INDEX(Register!$D$11:$D$510,MATCH($H118,Register!$J$11:$J$510,0))),INDEX(Register!$D$11:$D$510,MATCH($H118,Register!$J$11:$J$510,0)),INDEX(Register!$D$11:$D$510,MATCH($H118,Register!$J$11:$J$510,0))&amp;""))</f>
        <v/>
      </c>
      <c r="E118" s="25" t="str">
        <f aca="false">IF($H118="","",IF(ISNUMBER(INDEX(Register!$E$11:$E$510,MATCH($H118,Register!$J$11:$J$510,0))),INDEX(Register!$E$11:$E$510,MATCH($H118,Register!$J$11:$J$510,0))&amp;" mo",INDEX(Register!$E$11:$E$510,MATCH($H118,Register!$J$11:$J$510,0))&amp;""))</f>
        <v/>
      </c>
      <c r="F118" s="26" t="str">
        <f aca="false">IF($H118="","",INDEX(Register!$F$11:$F$510,MATCH($H118,Register!$J$11:$J$510,0)))</f>
        <v/>
      </c>
      <c r="G118" s="27" t="str">
        <f aca="false">IF($H118="","",IF(INDEX(Register!$G$11:$G$510,MATCH($H118,Register!$J$11:$J$510,0))="Check details","Check details: "&amp;INDEX(Register!$I$11:$I$510,MATCH($H118,Register!$J$11:$J$510,0)),INDEX(Register!$G$11:$G$510,MATCH($H118,Register!$J$11:$J$510,0))))</f>
        <v/>
      </c>
      <c r="H118" s="28" t="str">
        <f aca="false">IF(112&gt;COUNT(Register!$J$11:$J$510),"",SMALL(Register!$J$11:$J$510,112))</f>
        <v/>
      </c>
    </row>
    <row r="119" customFormat="false" ht="15" hidden="false" customHeight="false" outlineLevel="0" collapsed="false">
      <c r="A119" s="25" t="str">
        <f aca="false">IF($H119="","",INDEX(Register!$A$11:$A$510,MATCH($H119,Register!$J$11:$J$510,0))&amp;"")</f>
        <v/>
      </c>
      <c r="B119" s="25" t="str">
        <f aca="false">IF($H119="","",INDEX(Register!$B$11:$B$510,MATCH($H119,Register!$J$11:$J$510,0))&amp;"")</f>
        <v/>
      </c>
      <c r="C119" s="25" t="str">
        <f aca="false">IF($H119="","",INDEX(Register!$C$11:$C$510,MATCH($H119,Register!$J$11:$J$510,0))&amp;"")</f>
        <v/>
      </c>
      <c r="D119" s="26" t="str">
        <f aca="false">IF($H119="","",IF(ISNUMBER(INDEX(Register!$D$11:$D$510,MATCH($H119,Register!$J$11:$J$510,0))),INDEX(Register!$D$11:$D$510,MATCH($H119,Register!$J$11:$J$510,0)),INDEX(Register!$D$11:$D$510,MATCH($H119,Register!$J$11:$J$510,0))&amp;""))</f>
        <v/>
      </c>
      <c r="E119" s="25" t="str">
        <f aca="false">IF($H119="","",IF(ISNUMBER(INDEX(Register!$E$11:$E$510,MATCH($H119,Register!$J$11:$J$510,0))),INDEX(Register!$E$11:$E$510,MATCH($H119,Register!$J$11:$J$510,0))&amp;" mo",INDEX(Register!$E$11:$E$510,MATCH($H119,Register!$J$11:$J$510,0))&amp;""))</f>
        <v/>
      </c>
      <c r="F119" s="26" t="str">
        <f aca="false">IF($H119="","",INDEX(Register!$F$11:$F$510,MATCH($H119,Register!$J$11:$J$510,0)))</f>
        <v/>
      </c>
      <c r="G119" s="27" t="str">
        <f aca="false">IF($H119="","",IF(INDEX(Register!$G$11:$G$510,MATCH($H119,Register!$J$11:$J$510,0))="Check details","Check details: "&amp;INDEX(Register!$I$11:$I$510,MATCH($H119,Register!$J$11:$J$510,0)),INDEX(Register!$G$11:$G$510,MATCH($H119,Register!$J$11:$J$510,0))))</f>
        <v/>
      </c>
      <c r="H119" s="28" t="str">
        <f aca="false">IF(113&gt;COUNT(Register!$J$11:$J$510),"",SMALL(Register!$J$11:$J$510,113))</f>
        <v/>
      </c>
    </row>
    <row r="120" customFormat="false" ht="15" hidden="false" customHeight="false" outlineLevel="0" collapsed="false">
      <c r="A120" s="25" t="str">
        <f aca="false">IF($H120="","",INDEX(Register!$A$11:$A$510,MATCH($H120,Register!$J$11:$J$510,0))&amp;"")</f>
        <v/>
      </c>
      <c r="B120" s="25" t="str">
        <f aca="false">IF($H120="","",INDEX(Register!$B$11:$B$510,MATCH($H120,Register!$J$11:$J$510,0))&amp;"")</f>
        <v/>
      </c>
      <c r="C120" s="25" t="str">
        <f aca="false">IF($H120="","",INDEX(Register!$C$11:$C$510,MATCH($H120,Register!$J$11:$J$510,0))&amp;"")</f>
        <v/>
      </c>
      <c r="D120" s="26" t="str">
        <f aca="false">IF($H120="","",IF(ISNUMBER(INDEX(Register!$D$11:$D$510,MATCH($H120,Register!$J$11:$J$510,0))),INDEX(Register!$D$11:$D$510,MATCH($H120,Register!$J$11:$J$510,0)),INDEX(Register!$D$11:$D$510,MATCH($H120,Register!$J$11:$J$510,0))&amp;""))</f>
        <v/>
      </c>
      <c r="E120" s="25" t="str">
        <f aca="false">IF($H120="","",IF(ISNUMBER(INDEX(Register!$E$11:$E$510,MATCH($H120,Register!$J$11:$J$510,0))),INDEX(Register!$E$11:$E$510,MATCH($H120,Register!$J$11:$J$510,0))&amp;" mo",INDEX(Register!$E$11:$E$510,MATCH($H120,Register!$J$11:$J$510,0))&amp;""))</f>
        <v/>
      </c>
      <c r="F120" s="26" t="str">
        <f aca="false">IF($H120="","",INDEX(Register!$F$11:$F$510,MATCH($H120,Register!$J$11:$J$510,0)))</f>
        <v/>
      </c>
      <c r="G120" s="27" t="str">
        <f aca="false">IF($H120="","",IF(INDEX(Register!$G$11:$G$510,MATCH($H120,Register!$J$11:$J$510,0))="Check details","Check details: "&amp;INDEX(Register!$I$11:$I$510,MATCH($H120,Register!$J$11:$J$510,0)),INDEX(Register!$G$11:$G$510,MATCH($H120,Register!$J$11:$J$510,0))))</f>
        <v/>
      </c>
      <c r="H120" s="28" t="str">
        <f aca="false">IF(114&gt;COUNT(Register!$J$11:$J$510),"",SMALL(Register!$J$11:$J$510,114))</f>
        <v/>
      </c>
    </row>
    <row r="121" customFormat="false" ht="15" hidden="false" customHeight="false" outlineLevel="0" collapsed="false">
      <c r="A121" s="25" t="str">
        <f aca="false">IF($H121="","",INDEX(Register!$A$11:$A$510,MATCH($H121,Register!$J$11:$J$510,0))&amp;"")</f>
        <v/>
      </c>
      <c r="B121" s="25" t="str">
        <f aca="false">IF($H121="","",INDEX(Register!$B$11:$B$510,MATCH($H121,Register!$J$11:$J$510,0))&amp;"")</f>
        <v/>
      </c>
      <c r="C121" s="25" t="str">
        <f aca="false">IF($H121="","",INDEX(Register!$C$11:$C$510,MATCH($H121,Register!$J$11:$J$510,0))&amp;"")</f>
        <v/>
      </c>
      <c r="D121" s="26" t="str">
        <f aca="false">IF($H121="","",IF(ISNUMBER(INDEX(Register!$D$11:$D$510,MATCH($H121,Register!$J$11:$J$510,0))),INDEX(Register!$D$11:$D$510,MATCH($H121,Register!$J$11:$J$510,0)),INDEX(Register!$D$11:$D$510,MATCH($H121,Register!$J$11:$J$510,0))&amp;""))</f>
        <v/>
      </c>
      <c r="E121" s="25" t="str">
        <f aca="false">IF($H121="","",IF(ISNUMBER(INDEX(Register!$E$11:$E$510,MATCH($H121,Register!$J$11:$J$510,0))),INDEX(Register!$E$11:$E$510,MATCH($H121,Register!$J$11:$J$510,0))&amp;" mo",INDEX(Register!$E$11:$E$510,MATCH($H121,Register!$J$11:$J$510,0))&amp;""))</f>
        <v/>
      </c>
      <c r="F121" s="26" t="str">
        <f aca="false">IF($H121="","",INDEX(Register!$F$11:$F$510,MATCH($H121,Register!$J$11:$J$510,0)))</f>
        <v/>
      </c>
      <c r="G121" s="27" t="str">
        <f aca="false">IF($H121="","",IF(INDEX(Register!$G$11:$G$510,MATCH($H121,Register!$J$11:$J$510,0))="Check details","Check details: "&amp;INDEX(Register!$I$11:$I$510,MATCH($H121,Register!$J$11:$J$510,0)),INDEX(Register!$G$11:$G$510,MATCH($H121,Register!$J$11:$J$510,0))))</f>
        <v/>
      </c>
      <c r="H121" s="28" t="str">
        <f aca="false">IF(115&gt;COUNT(Register!$J$11:$J$510),"",SMALL(Register!$J$11:$J$510,115))</f>
        <v/>
      </c>
    </row>
    <row r="122" customFormat="false" ht="15" hidden="false" customHeight="false" outlineLevel="0" collapsed="false">
      <c r="A122" s="25" t="str">
        <f aca="false">IF($H122="","",INDEX(Register!$A$11:$A$510,MATCH($H122,Register!$J$11:$J$510,0))&amp;"")</f>
        <v/>
      </c>
      <c r="B122" s="25" t="str">
        <f aca="false">IF($H122="","",INDEX(Register!$B$11:$B$510,MATCH($H122,Register!$J$11:$J$510,0))&amp;"")</f>
        <v/>
      </c>
      <c r="C122" s="25" t="str">
        <f aca="false">IF($H122="","",INDEX(Register!$C$11:$C$510,MATCH($H122,Register!$J$11:$J$510,0))&amp;"")</f>
        <v/>
      </c>
      <c r="D122" s="26" t="str">
        <f aca="false">IF($H122="","",IF(ISNUMBER(INDEX(Register!$D$11:$D$510,MATCH($H122,Register!$J$11:$J$510,0))),INDEX(Register!$D$11:$D$510,MATCH($H122,Register!$J$11:$J$510,0)),INDEX(Register!$D$11:$D$510,MATCH($H122,Register!$J$11:$J$510,0))&amp;""))</f>
        <v/>
      </c>
      <c r="E122" s="25" t="str">
        <f aca="false">IF($H122="","",IF(ISNUMBER(INDEX(Register!$E$11:$E$510,MATCH($H122,Register!$J$11:$J$510,0))),INDEX(Register!$E$11:$E$510,MATCH($H122,Register!$J$11:$J$510,0))&amp;" mo",INDEX(Register!$E$11:$E$510,MATCH($H122,Register!$J$11:$J$510,0))&amp;""))</f>
        <v/>
      </c>
      <c r="F122" s="26" t="str">
        <f aca="false">IF($H122="","",INDEX(Register!$F$11:$F$510,MATCH($H122,Register!$J$11:$J$510,0)))</f>
        <v/>
      </c>
      <c r="G122" s="27" t="str">
        <f aca="false">IF($H122="","",IF(INDEX(Register!$G$11:$G$510,MATCH($H122,Register!$J$11:$J$510,0))="Check details","Check details: "&amp;INDEX(Register!$I$11:$I$510,MATCH($H122,Register!$J$11:$J$510,0)),INDEX(Register!$G$11:$G$510,MATCH($H122,Register!$J$11:$J$510,0))))</f>
        <v/>
      </c>
      <c r="H122" s="28" t="str">
        <f aca="false">IF(116&gt;COUNT(Register!$J$11:$J$510),"",SMALL(Register!$J$11:$J$510,116))</f>
        <v/>
      </c>
    </row>
    <row r="123" customFormat="false" ht="15" hidden="false" customHeight="false" outlineLevel="0" collapsed="false">
      <c r="A123" s="25" t="str">
        <f aca="false">IF($H123="","",INDEX(Register!$A$11:$A$510,MATCH($H123,Register!$J$11:$J$510,0))&amp;"")</f>
        <v/>
      </c>
      <c r="B123" s="25" t="str">
        <f aca="false">IF($H123="","",INDEX(Register!$B$11:$B$510,MATCH($H123,Register!$J$11:$J$510,0))&amp;"")</f>
        <v/>
      </c>
      <c r="C123" s="25" t="str">
        <f aca="false">IF($H123="","",INDEX(Register!$C$11:$C$510,MATCH($H123,Register!$J$11:$J$510,0))&amp;"")</f>
        <v/>
      </c>
      <c r="D123" s="26" t="str">
        <f aca="false">IF($H123="","",IF(ISNUMBER(INDEX(Register!$D$11:$D$510,MATCH($H123,Register!$J$11:$J$510,0))),INDEX(Register!$D$11:$D$510,MATCH($H123,Register!$J$11:$J$510,0)),INDEX(Register!$D$11:$D$510,MATCH($H123,Register!$J$11:$J$510,0))&amp;""))</f>
        <v/>
      </c>
      <c r="E123" s="25" t="str">
        <f aca="false">IF($H123="","",IF(ISNUMBER(INDEX(Register!$E$11:$E$510,MATCH($H123,Register!$J$11:$J$510,0))),INDEX(Register!$E$11:$E$510,MATCH($H123,Register!$J$11:$J$510,0))&amp;" mo",INDEX(Register!$E$11:$E$510,MATCH($H123,Register!$J$11:$J$510,0))&amp;""))</f>
        <v/>
      </c>
      <c r="F123" s="26" t="str">
        <f aca="false">IF($H123="","",INDEX(Register!$F$11:$F$510,MATCH($H123,Register!$J$11:$J$510,0)))</f>
        <v/>
      </c>
      <c r="G123" s="27" t="str">
        <f aca="false">IF($H123="","",IF(INDEX(Register!$G$11:$G$510,MATCH($H123,Register!$J$11:$J$510,0))="Check details","Check details: "&amp;INDEX(Register!$I$11:$I$510,MATCH($H123,Register!$J$11:$J$510,0)),INDEX(Register!$G$11:$G$510,MATCH($H123,Register!$J$11:$J$510,0))))</f>
        <v/>
      </c>
      <c r="H123" s="28" t="str">
        <f aca="false">IF(117&gt;COUNT(Register!$J$11:$J$510),"",SMALL(Register!$J$11:$J$510,117))</f>
        <v/>
      </c>
    </row>
    <row r="124" customFormat="false" ht="15" hidden="false" customHeight="false" outlineLevel="0" collapsed="false">
      <c r="A124" s="25" t="str">
        <f aca="false">IF($H124="","",INDEX(Register!$A$11:$A$510,MATCH($H124,Register!$J$11:$J$510,0))&amp;"")</f>
        <v/>
      </c>
      <c r="B124" s="25" t="str">
        <f aca="false">IF($H124="","",INDEX(Register!$B$11:$B$510,MATCH($H124,Register!$J$11:$J$510,0))&amp;"")</f>
        <v/>
      </c>
      <c r="C124" s="25" t="str">
        <f aca="false">IF($H124="","",INDEX(Register!$C$11:$C$510,MATCH($H124,Register!$J$11:$J$510,0))&amp;"")</f>
        <v/>
      </c>
      <c r="D124" s="26" t="str">
        <f aca="false">IF($H124="","",IF(ISNUMBER(INDEX(Register!$D$11:$D$510,MATCH($H124,Register!$J$11:$J$510,0))),INDEX(Register!$D$11:$D$510,MATCH($H124,Register!$J$11:$J$510,0)),INDEX(Register!$D$11:$D$510,MATCH($H124,Register!$J$11:$J$510,0))&amp;""))</f>
        <v/>
      </c>
      <c r="E124" s="25" t="str">
        <f aca="false">IF($H124="","",IF(ISNUMBER(INDEX(Register!$E$11:$E$510,MATCH($H124,Register!$J$11:$J$510,0))),INDEX(Register!$E$11:$E$510,MATCH($H124,Register!$J$11:$J$510,0))&amp;" mo",INDEX(Register!$E$11:$E$510,MATCH($H124,Register!$J$11:$J$510,0))&amp;""))</f>
        <v/>
      </c>
      <c r="F124" s="26" t="str">
        <f aca="false">IF($H124="","",INDEX(Register!$F$11:$F$510,MATCH($H124,Register!$J$11:$J$510,0)))</f>
        <v/>
      </c>
      <c r="G124" s="27" t="str">
        <f aca="false">IF($H124="","",IF(INDEX(Register!$G$11:$G$510,MATCH($H124,Register!$J$11:$J$510,0))="Check details","Check details: "&amp;INDEX(Register!$I$11:$I$510,MATCH($H124,Register!$J$11:$J$510,0)),INDEX(Register!$G$11:$G$510,MATCH($H124,Register!$J$11:$J$510,0))))</f>
        <v/>
      </c>
      <c r="H124" s="28" t="str">
        <f aca="false">IF(118&gt;COUNT(Register!$J$11:$J$510),"",SMALL(Register!$J$11:$J$510,118))</f>
        <v/>
      </c>
    </row>
    <row r="125" customFormat="false" ht="15" hidden="false" customHeight="false" outlineLevel="0" collapsed="false">
      <c r="A125" s="25" t="str">
        <f aca="false">IF($H125="","",INDEX(Register!$A$11:$A$510,MATCH($H125,Register!$J$11:$J$510,0))&amp;"")</f>
        <v/>
      </c>
      <c r="B125" s="25" t="str">
        <f aca="false">IF($H125="","",INDEX(Register!$B$11:$B$510,MATCH($H125,Register!$J$11:$J$510,0))&amp;"")</f>
        <v/>
      </c>
      <c r="C125" s="25" t="str">
        <f aca="false">IF($H125="","",INDEX(Register!$C$11:$C$510,MATCH($H125,Register!$J$11:$J$510,0))&amp;"")</f>
        <v/>
      </c>
      <c r="D125" s="26" t="str">
        <f aca="false">IF($H125="","",IF(ISNUMBER(INDEX(Register!$D$11:$D$510,MATCH($H125,Register!$J$11:$J$510,0))),INDEX(Register!$D$11:$D$510,MATCH($H125,Register!$J$11:$J$510,0)),INDEX(Register!$D$11:$D$510,MATCH($H125,Register!$J$11:$J$510,0))&amp;""))</f>
        <v/>
      </c>
      <c r="E125" s="25" t="str">
        <f aca="false">IF($H125="","",IF(ISNUMBER(INDEX(Register!$E$11:$E$510,MATCH($H125,Register!$J$11:$J$510,0))),INDEX(Register!$E$11:$E$510,MATCH($H125,Register!$J$11:$J$510,0))&amp;" mo",INDEX(Register!$E$11:$E$510,MATCH($H125,Register!$J$11:$J$510,0))&amp;""))</f>
        <v/>
      </c>
      <c r="F125" s="26" t="str">
        <f aca="false">IF($H125="","",INDEX(Register!$F$11:$F$510,MATCH($H125,Register!$J$11:$J$510,0)))</f>
        <v/>
      </c>
      <c r="G125" s="27" t="str">
        <f aca="false">IF($H125="","",IF(INDEX(Register!$G$11:$G$510,MATCH($H125,Register!$J$11:$J$510,0))="Check details","Check details: "&amp;INDEX(Register!$I$11:$I$510,MATCH($H125,Register!$J$11:$J$510,0)),INDEX(Register!$G$11:$G$510,MATCH($H125,Register!$J$11:$J$510,0))))</f>
        <v/>
      </c>
      <c r="H125" s="28" t="str">
        <f aca="false">IF(119&gt;COUNT(Register!$J$11:$J$510),"",SMALL(Register!$J$11:$J$510,119))</f>
        <v/>
      </c>
    </row>
    <row r="126" customFormat="false" ht="15" hidden="false" customHeight="false" outlineLevel="0" collapsed="false">
      <c r="A126" s="25" t="str">
        <f aca="false">IF($H126="","",INDEX(Register!$A$11:$A$510,MATCH($H126,Register!$J$11:$J$510,0))&amp;"")</f>
        <v/>
      </c>
      <c r="B126" s="25" t="str">
        <f aca="false">IF($H126="","",INDEX(Register!$B$11:$B$510,MATCH($H126,Register!$J$11:$J$510,0))&amp;"")</f>
        <v/>
      </c>
      <c r="C126" s="25" t="str">
        <f aca="false">IF($H126="","",INDEX(Register!$C$11:$C$510,MATCH($H126,Register!$J$11:$J$510,0))&amp;"")</f>
        <v/>
      </c>
      <c r="D126" s="26" t="str">
        <f aca="false">IF($H126="","",IF(ISNUMBER(INDEX(Register!$D$11:$D$510,MATCH($H126,Register!$J$11:$J$510,0))),INDEX(Register!$D$11:$D$510,MATCH($H126,Register!$J$11:$J$510,0)),INDEX(Register!$D$11:$D$510,MATCH($H126,Register!$J$11:$J$510,0))&amp;""))</f>
        <v/>
      </c>
      <c r="E126" s="25" t="str">
        <f aca="false">IF($H126="","",IF(ISNUMBER(INDEX(Register!$E$11:$E$510,MATCH($H126,Register!$J$11:$J$510,0))),INDEX(Register!$E$11:$E$510,MATCH($H126,Register!$J$11:$J$510,0))&amp;" mo",INDEX(Register!$E$11:$E$510,MATCH($H126,Register!$J$11:$J$510,0))&amp;""))</f>
        <v/>
      </c>
      <c r="F126" s="26" t="str">
        <f aca="false">IF($H126="","",INDEX(Register!$F$11:$F$510,MATCH($H126,Register!$J$11:$J$510,0)))</f>
        <v/>
      </c>
      <c r="G126" s="27" t="str">
        <f aca="false">IF($H126="","",IF(INDEX(Register!$G$11:$G$510,MATCH($H126,Register!$J$11:$J$510,0))="Check details","Check details: "&amp;INDEX(Register!$I$11:$I$510,MATCH($H126,Register!$J$11:$J$510,0)),INDEX(Register!$G$11:$G$510,MATCH($H126,Register!$J$11:$J$510,0))))</f>
        <v/>
      </c>
      <c r="H126" s="28" t="str">
        <f aca="false">IF(120&gt;COUNT(Register!$J$11:$J$510),"",SMALL(Register!$J$11:$J$510,120))</f>
        <v/>
      </c>
    </row>
    <row r="127" customFormat="false" ht="15" hidden="false" customHeight="false" outlineLevel="0" collapsed="false">
      <c r="A127" s="25" t="str">
        <f aca="false">IF($H127="","",INDEX(Register!$A$11:$A$510,MATCH($H127,Register!$J$11:$J$510,0))&amp;"")</f>
        <v/>
      </c>
      <c r="B127" s="25" t="str">
        <f aca="false">IF($H127="","",INDEX(Register!$B$11:$B$510,MATCH($H127,Register!$J$11:$J$510,0))&amp;"")</f>
        <v/>
      </c>
      <c r="C127" s="25" t="str">
        <f aca="false">IF($H127="","",INDEX(Register!$C$11:$C$510,MATCH($H127,Register!$J$11:$J$510,0))&amp;"")</f>
        <v/>
      </c>
      <c r="D127" s="26" t="str">
        <f aca="false">IF($H127="","",IF(ISNUMBER(INDEX(Register!$D$11:$D$510,MATCH($H127,Register!$J$11:$J$510,0))),INDEX(Register!$D$11:$D$510,MATCH($H127,Register!$J$11:$J$510,0)),INDEX(Register!$D$11:$D$510,MATCH($H127,Register!$J$11:$J$510,0))&amp;""))</f>
        <v/>
      </c>
      <c r="E127" s="25" t="str">
        <f aca="false">IF($H127="","",IF(ISNUMBER(INDEX(Register!$E$11:$E$510,MATCH($H127,Register!$J$11:$J$510,0))),INDEX(Register!$E$11:$E$510,MATCH($H127,Register!$J$11:$J$510,0))&amp;" mo",INDEX(Register!$E$11:$E$510,MATCH($H127,Register!$J$11:$J$510,0))&amp;""))</f>
        <v/>
      </c>
      <c r="F127" s="26" t="str">
        <f aca="false">IF($H127="","",INDEX(Register!$F$11:$F$510,MATCH($H127,Register!$J$11:$J$510,0)))</f>
        <v/>
      </c>
      <c r="G127" s="27" t="str">
        <f aca="false">IF($H127="","",IF(INDEX(Register!$G$11:$G$510,MATCH($H127,Register!$J$11:$J$510,0))="Check details","Check details: "&amp;INDEX(Register!$I$11:$I$510,MATCH($H127,Register!$J$11:$J$510,0)),INDEX(Register!$G$11:$G$510,MATCH($H127,Register!$J$11:$J$510,0))))</f>
        <v/>
      </c>
      <c r="H127" s="28" t="str">
        <f aca="false">IF(121&gt;COUNT(Register!$J$11:$J$510),"",SMALL(Register!$J$11:$J$510,121))</f>
        <v/>
      </c>
    </row>
    <row r="128" customFormat="false" ht="15" hidden="false" customHeight="false" outlineLevel="0" collapsed="false">
      <c r="A128" s="25" t="str">
        <f aca="false">IF($H128="","",INDEX(Register!$A$11:$A$510,MATCH($H128,Register!$J$11:$J$510,0))&amp;"")</f>
        <v/>
      </c>
      <c r="B128" s="25" t="str">
        <f aca="false">IF($H128="","",INDEX(Register!$B$11:$B$510,MATCH($H128,Register!$J$11:$J$510,0))&amp;"")</f>
        <v/>
      </c>
      <c r="C128" s="25" t="str">
        <f aca="false">IF($H128="","",INDEX(Register!$C$11:$C$510,MATCH($H128,Register!$J$11:$J$510,0))&amp;"")</f>
        <v/>
      </c>
      <c r="D128" s="26" t="str">
        <f aca="false">IF($H128="","",IF(ISNUMBER(INDEX(Register!$D$11:$D$510,MATCH($H128,Register!$J$11:$J$510,0))),INDEX(Register!$D$11:$D$510,MATCH($H128,Register!$J$11:$J$510,0)),INDEX(Register!$D$11:$D$510,MATCH($H128,Register!$J$11:$J$510,0))&amp;""))</f>
        <v/>
      </c>
      <c r="E128" s="25" t="str">
        <f aca="false">IF($H128="","",IF(ISNUMBER(INDEX(Register!$E$11:$E$510,MATCH($H128,Register!$J$11:$J$510,0))),INDEX(Register!$E$11:$E$510,MATCH($H128,Register!$J$11:$J$510,0))&amp;" mo",INDEX(Register!$E$11:$E$510,MATCH($H128,Register!$J$11:$J$510,0))&amp;""))</f>
        <v/>
      </c>
      <c r="F128" s="26" t="str">
        <f aca="false">IF($H128="","",INDEX(Register!$F$11:$F$510,MATCH($H128,Register!$J$11:$J$510,0)))</f>
        <v/>
      </c>
      <c r="G128" s="27" t="str">
        <f aca="false">IF($H128="","",IF(INDEX(Register!$G$11:$G$510,MATCH($H128,Register!$J$11:$J$510,0))="Check details","Check details: "&amp;INDEX(Register!$I$11:$I$510,MATCH($H128,Register!$J$11:$J$510,0)),INDEX(Register!$G$11:$G$510,MATCH($H128,Register!$J$11:$J$510,0))))</f>
        <v/>
      </c>
      <c r="H128" s="28" t="str">
        <f aca="false">IF(122&gt;COUNT(Register!$J$11:$J$510),"",SMALL(Register!$J$11:$J$510,122))</f>
        <v/>
      </c>
    </row>
    <row r="129" customFormat="false" ht="15" hidden="false" customHeight="false" outlineLevel="0" collapsed="false">
      <c r="A129" s="25" t="str">
        <f aca="false">IF($H129="","",INDEX(Register!$A$11:$A$510,MATCH($H129,Register!$J$11:$J$510,0))&amp;"")</f>
        <v/>
      </c>
      <c r="B129" s="25" t="str">
        <f aca="false">IF($H129="","",INDEX(Register!$B$11:$B$510,MATCH($H129,Register!$J$11:$J$510,0))&amp;"")</f>
        <v/>
      </c>
      <c r="C129" s="25" t="str">
        <f aca="false">IF($H129="","",INDEX(Register!$C$11:$C$510,MATCH($H129,Register!$J$11:$J$510,0))&amp;"")</f>
        <v/>
      </c>
      <c r="D129" s="26" t="str">
        <f aca="false">IF($H129="","",IF(ISNUMBER(INDEX(Register!$D$11:$D$510,MATCH($H129,Register!$J$11:$J$510,0))),INDEX(Register!$D$11:$D$510,MATCH($H129,Register!$J$11:$J$510,0)),INDEX(Register!$D$11:$D$510,MATCH($H129,Register!$J$11:$J$510,0))&amp;""))</f>
        <v/>
      </c>
      <c r="E129" s="25" t="str">
        <f aca="false">IF($H129="","",IF(ISNUMBER(INDEX(Register!$E$11:$E$510,MATCH($H129,Register!$J$11:$J$510,0))),INDEX(Register!$E$11:$E$510,MATCH($H129,Register!$J$11:$J$510,0))&amp;" mo",INDEX(Register!$E$11:$E$510,MATCH($H129,Register!$J$11:$J$510,0))&amp;""))</f>
        <v/>
      </c>
      <c r="F129" s="26" t="str">
        <f aca="false">IF($H129="","",INDEX(Register!$F$11:$F$510,MATCH($H129,Register!$J$11:$J$510,0)))</f>
        <v/>
      </c>
      <c r="G129" s="27" t="str">
        <f aca="false">IF($H129="","",IF(INDEX(Register!$G$11:$G$510,MATCH($H129,Register!$J$11:$J$510,0))="Check details","Check details: "&amp;INDEX(Register!$I$11:$I$510,MATCH($H129,Register!$J$11:$J$510,0)),INDEX(Register!$G$11:$G$510,MATCH($H129,Register!$J$11:$J$510,0))))</f>
        <v/>
      </c>
      <c r="H129" s="28" t="str">
        <f aca="false">IF(123&gt;COUNT(Register!$J$11:$J$510),"",SMALL(Register!$J$11:$J$510,123))</f>
        <v/>
      </c>
    </row>
    <row r="130" customFormat="false" ht="15" hidden="false" customHeight="false" outlineLevel="0" collapsed="false">
      <c r="A130" s="25" t="str">
        <f aca="false">IF($H130="","",INDEX(Register!$A$11:$A$510,MATCH($H130,Register!$J$11:$J$510,0))&amp;"")</f>
        <v/>
      </c>
      <c r="B130" s="25" t="str">
        <f aca="false">IF($H130="","",INDEX(Register!$B$11:$B$510,MATCH($H130,Register!$J$11:$J$510,0))&amp;"")</f>
        <v/>
      </c>
      <c r="C130" s="25" t="str">
        <f aca="false">IF($H130="","",INDEX(Register!$C$11:$C$510,MATCH($H130,Register!$J$11:$J$510,0))&amp;"")</f>
        <v/>
      </c>
      <c r="D130" s="26" t="str">
        <f aca="false">IF($H130="","",IF(ISNUMBER(INDEX(Register!$D$11:$D$510,MATCH($H130,Register!$J$11:$J$510,0))),INDEX(Register!$D$11:$D$510,MATCH($H130,Register!$J$11:$J$510,0)),INDEX(Register!$D$11:$D$510,MATCH($H130,Register!$J$11:$J$510,0))&amp;""))</f>
        <v/>
      </c>
      <c r="E130" s="25" t="str">
        <f aca="false">IF($H130="","",IF(ISNUMBER(INDEX(Register!$E$11:$E$510,MATCH($H130,Register!$J$11:$J$510,0))),INDEX(Register!$E$11:$E$510,MATCH($H130,Register!$J$11:$J$510,0))&amp;" mo",INDEX(Register!$E$11:$E$510,MATCH($H130,Register!$J$11:$J$510,0))&amp;""))</f>
        <v/>
      </c>
      <c r="F130" s="26" t="str">
        <f aca="false">IF($H130="","",INDEX(Register!$F$11:$F$510,MATCH($H130,Register!$J$11:$J$510,0)))</f>
        <v/>
      </c>
      <c r="G130" s="27" t="str">
        <f aca="false">IF($H130="","",IF(INDEX(Register!$G$11:$G$510,MATCH($H130,Register!$J$11:$J$510,0))="Check details","Check details: "&amp;INDEX(Register!$I$11:$I$510,MATCH($H130,Register!$J$11:$J$510,0)),INDEX(Register!$G$11:$G$510,MATCH($H130,Register!$J$11:$J$510,0))))</f>
        <v/>
      </c>
      <c r="H130" s="28" t="str">
        <f aca="false">IF(124&gt;COUNT(Register!$J$11:$J$510),"",SMALL(Register!$J$11:$J$510,124))</f>
        <v/>
      </c>
    </row>
    <row r="131" customFormat="false" ht="15" hidden="false" customHeight="false" outlineLevel="0" collapsed="false">
      <c r="A131" s="25" t="str">
        <f aca="false">IF($H131="","",INDEX(Register!$A$11:$A$510,MATCH($H131,Register!$J$11:$J$510,0))&amp;"")</f>
        <v/>
      </c>
      <c r="B131" s="25" t="str">
        <f aca="false">IF($H131="","",INDEX(Register!$B$11:$B$510,MATCH($H131,Register!$J$11:$J$510,0))&amp;"")</f>
        <v/>
      </c>
      <c r="C131" s="25" t="str">
        <f aca="false">IF($H131="","",INDEX(Register!$C$11:$C$510,MATCH($H131,Register!$J$11:$J$510,0))&amp;"")</f>
        <v/>
      </c>
      <c r="D131" s="26" t="str">
        <f aca="false">IF($H131="","",IF(ISNUMBER(INDEX(Register!$D$11:$D$510,MATCH($H131,Register!$J$11:$J$510,0))),INDEX(Register!$D$11:$D$510,MATCH($H131,Register!$J$11:$J$510,0)),INDEX(Register!$D$11:$D$510,MATCH($H131,Register!$J$11:$J$510,0))&amp;""))</f>
        <v/>
      </c>
      <c r="E131" s="25" t="str">
        <f aca="false">IF($H131="","",IF(ISNUMBER(INDEX(Register!$E$11:$E$510,MATCH($H131,Register!$J$11:$J$510,0))),INDEX(Register!$E$11:$E$510,MATCH($H131,Register!$J$11:$J$510,0))&amp;" mo",INDEX(Register!$E$11:$E$510,MATCH($H131,Register!$J$11:$J$510,0))&amp;""))</f>
        <v/>
      </c>
      <c r="F131" s="26" t="str">
        <f aca="false">IF($H131="","",INDEX(Register!$F$11:$F$510,MATCH($H131,Register!$J$11:$J$510,0)))</f>
        <v/>
      </c>
      <c r="G131" s="27" t="str">
        <f aca="false">IF($H131="","",IF(INDEX(Register!$G$11:$G$510,MATCH($H131,Register!$J$11:$J$510,0))="Check details","Check details: "&amp;INDEX(Register!$I$11:$I$510,MATCH($H131,Register!$J$11:$J$510,0)),INDEX(Register!$G$11:$G$510,MATCH($H131,Register!$J$11:$J$510,0))))</f>
        <v/>
      </c>
      <c r="H131" s="28" t="str">
        <f aca="false">IF(125&gt;COUNT(Register!$J$11:$J$510),"",SMALL(Register!$J$11:$J$510,125))</f>
        <v/>
      </c>
    </row>
    <row r="132" customFormat="false" ht="15" hidden="false" customHeight="false" outlineLevel="0" collapsed="false">
      <c r="A132" s="25" t="str">
        <f aca="false">IF($H132="","",INDEX(Register!$A$11:$A$510,MATCH($H132,Register!$J$11:$J$510,0))&amp;"")</f>
        <v/>
      </c>
      <c r="B132" s="25" t="str">
        <f aca="false">IF($H132="","",INDEX(Register!$B$11:$B$510,MATCH($H132,Register!$J$11:$J$510,0))&amp;"")</f>
        <v/>
      </c>
      <c r="C132" s="25" t="str">
        <f aca="false">IF($H132="","",INDEX(Register!$C$11:$C$510,MATCH($H132,Register!$J$11:$J$510,0))&amp;"")</f>
        <v/>
      </c>
      <c r="D132" s="26" t="str">
        <f aca="false">IF($H132="","",IF(ISNUMBER(INDEX(Register!$D$11:$D$510,MATCH($H132,Register!$J$11:$J$510,0))),INDEX(Register!$D$11:$D$510,MATCH($H132,Register!$J$11:$J$510,0)),INDEX(Register!$D$11:$D$510,MATCH($H132,Register!$J$11:$J$510,0))&amp;""))</f>
        <v/>
      </c>
      <c r="E132" s="25" t="str">
        <f aca="false">IF($H132="","",IF(ISNUMBER(INDEX(Register!$E$11:$E$510,MATCH($H132,Register!$J$11:$J$510,0))),INDEX(Register!$E$11:$E$510,MATCH($H132,Register!$J$11:$J$510,0))&amp;" mo",INDEX(Register!$E$11:$E$510,MATCH($H132,Register!$J$11:$J$510,0))&amp;""))</f>
        <v/>
      </c>
      <c r="F132" s="26" t="str">
        <f aca="false">IF($H132="","",INDEX(Register!$F$11:$F$510,MATCH($H132,Register!$J$11:$J$510,0)))</f>
        <v/>
      </c>
      <c r="G132" s="27" t="str">
        <f aca="false">IF($H132="","",IF(INDEX(Register!$G$11:$G$510,MATCH($H132,Register!$J$11:$J$510,0))="Check details","Check details: "&amp;INDEX(Register!$I$11:$I$510,MATCH($H132,Register!$J$11:$J$510,0)),INDEX(Register!$G$11:$G$510,MATCH($H132,Register!$J$11:$J$510,0))))</f>
        <v/>
      </c>
      <c r="H132" s="28" t="str">
        <f aca="false">IF(126&gt;COUNT(Register!$J$11:$J$510),"",SMALL(Register!$J$11:$J$510,126))</f>
        <v/>
      </c>
    </row>
    <row r="133" customFormat="false" ht="15" hidden="false" customHeight="false" outlineLevel="0" collapsed="false">
      <c r="A133" s="25" t="str">
        <f aca="false">IF($H133="","",INDEX(Register!$A$11:$A$510,MATCH($H133,Register!$J$11:$J$510,0))&amp;"")</f>
        <v/>
      </c>
      <c r="B133" s="25" t="str">
        <f aca="false">IF($H133="","",INDEX(Register!$B$11:$B$510,MATCH($H133,Register!$J$11:$J$510,0))&amp;"")</f>
        <v/>
      </c>
      <c r="C133" s="25" t="str">
        <f aca="false">IF($H133="","",INDEX(Register!$C$11:$C$510,MATCH($H133,Register!$J$11:$J$510,0))&amp;"")</f>
        <v/>
      </c>
      <c r="D133" s="26" t="str">
        <f aca="false">IF($H133="","",IF(ISNUMBER(INDEX(Register!$D$11:$D$510,MATCH($H133,Register!$J$11:$J$510,0))),INDEX(Register!$D$11:$D$510,MATCH($H133,Register!$J$11:$J$510,0)),INDEX(Register!$D$11:$D$510,MATCH($H133,Register!$J$11:$J$510,0))&amp;""))</f>
        <v/>
      </c>
      <c r="E133" s="25" t="str">
        <f aca="false">IF($H133="","",IF(ISNUMBER(INDEX(Register!$E$11:$E$510,MATCH($H133,Register!$J$11:$J$510,0))),INDEX(Register!$E$11:$E$510,MATCH($H133,Register!$J$11:$J$510,0))&amp;" mo",INDEX(Register!$E$11:$E$510,MATCH($H133,Register!$J$11:$J$510,0))&amp;""))</f>
        <v/>
      </c>
      <c r="F133" s="26" t="str">
        <f aca="false">IF($H133="","",INDEX(Register!$F$11:$F$510,MATCH($H133,Register!$J$11:$J$510,0)))</f>
        <v/>
      </c>
      <c r="G133" s="27" t="str">
        <f aca="false">IF($H133="","",IF(INDEX(Register!$G$11:$G$510,MATCH($H133,Register!$J$11:$J$510,0))="Check details","Check details: "&amp;INDEX(Register!$I$11:$I$510,MATCH($H133,Register!$J$11:$J$510,0)),INDEX(Register!$G$11:$G$510,MATCH($H133,Register!$J$11:$J$510,0))))</f>
        <v/>
      </c>
      <c r="H133" s="28" t="str">
        <f aca="false">IF(127&gt;COUNT(Register!$J$11:$J$510),"",SMALL(Register!$J$11:$J$510,127))</f>
        <v/>
      </c>
    </row>
    <row r="134" customFormat="false" ht="15" hidden="false" customHeight="false" outlineLevel="0" collapsed="false">
      <c r="A134" s="25" t="str">
        <f aca="false">IF($H134="","",INDEX(Register!$A$11:$A$510,MATCH($H134,Register!$J$11:$J$510,0))&amp;"")</f>
        <v/>
      </c>
      <c r="B134" s="25" t="str">
        <f aca="false">IF($H134="","",INDEX(Register!$B$11:$B$510,MATCH($H134,Register!$J$11:$J$510,0))&amp;"")</f>
        <v/>
      </c>
      <c r="C134" s="25" t="str">
        <f aca="false">IF($H134="","",INDEX(Register!$C$11:$C$510,MATCH($H134,Register!$J$11:$J$510,0))&amp;"")</f>
        <v/>
      </c>
      <c r="D134" s="26" t="str">
        <f aca="false">IF($H134="","",IF(ISNUMBER(INDEX(Register!$D$11:$D$510,MATCH($H134,Register!$J$11:$J$510,0))),INDEX(Register!$D$11:$D$510,MATCH($H134,Register!$J$11:$J$510,0)),INDEX(Register!$D$11:$D$510,MATCH($H134,Register!$J$11:$J$510,0))&amp;""))</f>
        <v/>
      </c>
      <c r="E134" s="25" t="str">
        <f aca="false">IF($H134="","",IF(ISNUMBER(INDEX(Register!$E$11:$E$510,MATCH($H134,Register!$J$11:$J$510,0))),INDEX(Register!$E$11:$E$510,MATCH($H134,Register!$J$11:$J$510,0))&amp;" mo",INDEX(Register!$E$11:$E$510,MATCH($H134,Register!$J$11:$J$510,0))&amp;""))</f>
        <v/>
      </c>
      <c r="F134" s="26" t="str">
        <f aca="false">IF($H134="","",INDEX(Register!$F$11:$F$510,MATCH($H134,Register!$J$11:$J$510,0)))</f>
        <v/>
      </c>
      <c r="G134" s="27" t="str">
        <f aca="false">IF($H134="","",IF(INDEX(Register!$G$11:$G$510,MATCH($H134,Register!$J$11:$J$510,0))="Check details","Check details: "&amp;INDEX(Register!$I$11:$I$510,MATCH($H134,Register!$J$11:$J$510,0)),INDEX(Register!$G$11:$G$510,MATCH($H134,Register!$J$11:$J$510,0))))</f>
        <v/>
      </c>
      <c r="H134" s="28" t="str">
        <f aca="false">IF(128&gt;COUNT(Register!$J$11:$J$510),"",SMALL(Register!$J$11:$J$510,128))</f>
        <v/>
      </c>
    </row>
    <row r="135" customFormat="false" ht="15" hidden="false" customHeight="false" outlineLevel="0" collapsed="false">
      <c r="A135" s="25" t="str">
        <f aca="false">IF($H135="","",INDEX(Register!$A$11:$A$510,MATCH($H135,Register!$J$11:$J$510,0))&amp;"")</f>
        <v/>
      </c>
      <c r="B135" s="25" t="str">
        <f aca="false">IF($H135="","",INDEX(Register!$B$11:$B$510,MATCH($H135,Register!$J$11:$J$510,0))&amp;"")</f>
        <v/>
      </c>
      <c r="C135" s="25" t="str">
        <f aca="false">IF($H135="","",INDEX(Register!$C$11:$C$510,MATCH($H135,Register!$J$11:$J$510,0))&amp;"")</f>
        <v/>
      </c>
      <c r="D135" s="26" t="str">
        <f aca="false">IF($H135="","",IF(ISNUMBER(INDEX(Register!$D$11:$D$510,MATCH($H135,Register!$J$11:$J$510,0))),INDEX(Register!$D$11:$D$510,MATCH($H135,Register!$J$11:$J$510,0)),INDEX(Register!$D$11:$D$510,MATCH($H135,Register!$J$11:$J$510,0))&amp;""))</f>
        <v/>
      </c>
      <c r="E135" s="25" t="str">
        <f aca="false">IF($H135="","",IF(ISNUMBER(INDEX(Register!$E$11:$E$510,MATCH($H135,Register!$J$11:$J$510,0))),INDEX(Register!$E$11:$E$510,MATCH($H135,Register!$J$11:$J$510,0))&amp;" mo",INDEX(Register!$E$11:$E$510,MATCH($H135,Register!$J$11:$J$510,0))&amp;""))</f>
        <v/>
      </c>
      <c r="F135" s="26" t="str">
        <f aca="false">IF($H135="","",INDEX(Register!$F$11:$F$510,MATCH($H135,Register!$J$11:$J$510,0)))</f>
        <v/>
      </c>
      <c r="G135" s="27" t="str">
        <f aca="false">IF($H135="","",IF(INDEX(Register!$G$11:$G$510,MATCH($H135,Register!$J$11:$J$510,0))="Check details","Check details: "&amp;INDEX(Register!$I$11:$I$510,MATCH($H135,Register!$J$11:$J$510,0)),INDEX(Register!$G$11:$G$510,MATCH($H135,Register!$J$11:$J$510,0))))</f>
        <v/>
      </c>
      <c r="H135" s="28" t="str">
        <f aca="false">IF(129&gt;COUNT(Register!$J$11:$J$510),"",SMALL(Register!$J$11:$J$510,129))</f>
        <v/>
      </c>
    </row>
    <row r="136" customFormat="false" ht="15" hidden="false" customHeight="false" outlineLevel="0" collapsed="false">
      <c r="A136" s="25" t="str">
        <f aca="false">IF($H136="","",INDEX(Register!$A$11:$A$510,MATCH($H136,Register!$J$11:$J$510,0))&amp;"")</f>
        <v/>
      </c>
      <c r="B136" s="25" t="str">
        <f aca="false">IF($H136="","",INDEX(Register!$B$11:$B$510,MATCH($H136,Register!$J$11:$J$510,0))&amp;"")</f>
        <v/>
      </c>
      <c r="C136" s="25" t="str">
        <f aca="false">IF($H136="","",INDEX(Register!$C$11:$C$510,MATCH($H136,Register!$J$11:$J$510,0))&amp;"")</f>
        <v/>
      </c>
      <c r="D136" s="26" t="str">
        <f aca="false">IF($H136="","",IF(ISNUMBER(INDEX(Register!$D$11:$D$510,MATCH($H136,Register!$J$11:$J$510,0))),INDEX(Register!$D$11:$D$510,MATCH($H136,Register!$J$11:$J$510,0)),INDEX(Register!$D$11:$D$510,MATCH($H136,Register!$J$11:$J$510,0))&amp;""))</f>
        <v/>
      </c>
      <c r="E136" s="25" t="str">
        <f aca="false">IF($H136="","",IF(ISNUMBER(INDEX(Register!$E$11:$E$510,MATCH($H136,Register!$J$11:$J$510,0))),INDEX(Register!$E$11:$E$510,MATCH($H136,Register!$J$11:$J$510,0))&amp;" mo",INDEX(Register!$E$11:$E$510,MATCH($H136,Register!$J$11:$J$510,0))&amp;""))</f>
        <v/>
      </c>
      <c r="F136" s="26" t="str">
        <f aca="false">IF($H136="","",INDEX(Register!$F$11:$F$510,MATCH($H136,Register!$J$11:$J$510,0)))</f>
        <v/>
      </c>
      <c r="G136" s="27" t="str">
        <f aca="false">IF($H136="","",IF(INDEX(Register!$G$11:$G$510,MATCH($H136,Register!$J$11:$J$510,0))="Check details","Check details: "&amp;INDEX(Register!$I$11:$I$510,MATCH($H136,Register!$J$11:$J$510,0)),INDEX(Register!$G$11:$G$510,MATCH($H136,Register!$J$11:$J$510,0))))</f>
        <v/>
      </c>
      <c r="H136" s="28" t="str">
        <f aca="false">IF(130&gt;COUNT(Register!$J$11:$J$510),"",SMALL(Register!$J$11:$J$510,130))</f>
        <v/>
      </c>
    </row>
    <row r="137" customFormat="false" ht="15" hidden="false" customHeight="false" outlineLevel="0" collapsed="false">
      <c r="A137" s="25" t="str">
        <f aca="false">IF($H137="","",INDEX(Register!$A$11:$A$510,MATCH($H137,Register!$J$11:$J$510,0))&amp;"")</f>
        <v/>
      </c>
      <c r="B137" s="25" t="str">
        <f aca="false">IF($H137="","",INDEX(Register!$B$11:$B$510,MATCH($H137,Register!$J$11:$J$510,0))&amp;"")</f>
        <v/>
      </c>
      <c r="C137" s="25" t="str">
        <f aca="false">IF($H137="","",INDEX(Register!$C$11:$C$510,MATCH($H137,Register!$J$11:$J$510,0))&amp;"")</f>
        <v/>
      </c>
      <c r="D137" s="26" t="str">
        <f aca="false">IF($H137="","",IF(ISNUMBER(INDEX(Register!$D$11:$D$510,MATCH($H137,Register!$J$11:$J$510,0))),INDEX(Register!$D$11:$D$510,MATCH($H137,Register!$J$11:$J$510,0)),INDEX(Register!$D$11:$D$510,MATCH($H137,Register!$J$11:$J$510,0))&amp;""))</f>
        <v/>
      </c>
      <c r="E137" s="25" t="str">
        <f aca="false">IF($H137="","",IF(ISNUMBER(INDEX(Register!$E$11:$E$510,MATCH($H137,Register!$J$11:$J$510,0))),INDEX(Register!$E$11:$E$510,MATCH($H137,Register!$J$11:$J$510,0))&amp;" mo",INDEX(Register!$E$11:$E$510,MATCH($H137,Register!$J$11:$J$510,0))&amp;""))</f>
        <v/>
      </c>
      <c r="F137" s="26" t="str">
        <f aca="false">IF($H137="","",INDEX(Register!$F$11:$F$510,MATCH($H137,Register!$J$11:$J$510,0)))</f>
        <v/>
      </c>
      <c r="G137" s="27" t="str">
        <f aca="false">IF($H137="","",IF(INDEX(Register!$G$11:$G$510,MATCH($H137,Register!$J$11:$J$510,0))="Check details","Check details: "&amp;INDEX(Register!$I$11:$I$510,MATCH($H137,Register!$J$11:$J$510,0)),INDEX(Register!$G$11:$G$510,MATCH($H137,Register!$J$11:$J$510,0))))</f>
        <v/>
      </c>
      <c r="H137" s="28" t="str">
        <f aca="false">IF(131&gt;COUNT(Register!$J$11:$J$510),"",SMALL(Register!$J$11:$J$510,131))</f>
        <v/>
      </c>
    </row>
    <row r="138" customFormat="false" ht="15" hidden="false" customHeight="false" outlineLevel="0" collapsed="false">
      <c r="A138" s="25" t="str">
        <f aca="false">IF($H138="","",INDEX(Register!$A$11:$A$510,MATCH($H138,Register!$J$11:$J$510,0))&amp;"")</f>
        <v/>
      </c>
      <c r="B138" s="25" t="str">
        <f aca="false">IF($H138="","",INDEX(Register!$B$11:$B$510,MATCH($H138,Register!$J$11:$J$510,0))&amp;"")</f>
        <v/>
      </c>
      <c r="C138" s="25" t="str">
        <f aca="false">IF($H138="","",INDEX(Register!$C$11:$C$510,MATCH($H138,Register!$J$11:$J$510,0))&amp;"")</f>
        <v/>
      </c>
      <c r="D138" s="26" t="str">
        <f aca="false">IF($H138="","",IF(ISNUMBER(INDEX(Register!$D$11:$D$510,MATCH($H138,Register!$J$11:$J$510,0))),INDEX(Register!$D$11:$D$510,MATCH($H138,Register!$J$11:$J$510,0)),INDEX(Register!$D$11:$D$510,MATCH($H138,Register!$J$11:$J$510,0))&amp;""))</f>
        <v/>
      </c>
      <c r="E138" s="25" t="str">
        <f aca="false">IF($H138="","",IF(ISNUMBER(INDEX(Register!$E$11:$E$510,MATCH($H138,Register!$J$11:$J$510,0))),INDEX(Register!$E$11:$E$510,MATCH($H138,Register!$J$11:$J$510,0))&amp;" mo",INDEX(Register!$E$11:$E$510,MATCH($H138,Register!$J$11:$J$510,0))&amp;""))</f>
        <v/>
      </c>
      <c r="F138" s="26" t="str">
        <f aca="false">IF($H138="","",INDEX(Register!$F$11:$F$510,MATCH($H138,Register!$J$11:$J$510,0)))</f>
        <v/>
      </c>
      <c r="G138" s="27" t="str">
        <f aca="false">IF($H138="","",IF(INDEX(Register!$G$11:$G$510,MATCH($H138,Register!$J$11:$J$510,0))="Check details","Check details: "&amp;INDEX(Register!$I$11:$I$510,MATCH($H138,Register!$J$11:$J$510,0)),INDEX(Register!$G$11:$G$510,MATCH($H138,Register!$J$11:$J$510,0))))</f>
        <v/>
      </c>
      <c r="H138" s="28" t="str">
        <f aca="false">IF(132&gt;COUNT(Register!$J$11:$J$510),"",SMALL(Register!$J$11:$J$510,132))</f>
        <v/>
      </c>
    </row>
    <row r="139" customFormat="false" ht="15" hidden="false" customHeight="false" outlineLevel="0" collapsed="false">
      <c r="A139" s="25" t="str">
        <f aca="false">IF($H139="","",INDEX(Register!$A$11:$A$510,MATCH($H139,Register!$J$11:$J$510,0))&amp;"")</f>
        <v/>
      </c>
      <c r="B139" s="25" t="str">
        <f aca="false">IF($H139="","",INDEX(Register!$B$11:$B$510,MATCH($H139,Register!$J$11:$J$510,0))&amp;"")</f>
        <v/>
      </c>
      <c r="C139" s="25" t="str">
        <f aca="false">IF($H139="","",INDEX(Register!$C$11:$C$510,MATCH($H139,Register!$J$11:$J$510,0))&amp;"")</f>
        <v/>
      </c>
      <c r="D139" s="26" t="str">
        <f aca="false">IF($H139="","",IF(ISNUMBER(INDEX(Register!$D$11:$D$510,MATCH($H139,Register!$J$11:$J$510,0))),INDEX(Register!$D$11:$D$510,MATCH($H139,Register!$J$11:$J$510,0)),INDEX(Register!$D$11:$D$510,MATCH($H139,Register!$J$11:$J$510,0))&amp;""))</f>
        <v/>
      </c>
      <c r="E139" s="25" t="str">
        <f aca="false">IF($H139="","",IF(ISNUMBER(INDEX(Register!$E$11:$E$510,MATCH($H139,Register!$J$11:$J$510,0))),INDEX(Register!$E$11:$E$510,MATCH($H139,Register!$J$11:$J$510,0))&amp;" mo",INDEX(Register!$E$11:$E$510,MATCH($H139,Register!$J$11:$J$510,0))&amp;""))</f>
        <v/>
      </c>
      <c r="F139" s="26" t="str">
        <f aca="false">IF($H139="","",INDEX(Register!$F$11:$F$510,MATCH($H139,Register!$J$11:$J$510,0)))</f>
        <v/>
      </c>
      <c r="G139" s="27" t="str">
        <f aca="false">IF($H139="","",IF(INDEX(Register!$G$11:$G$510,MATCH($H139,Register!$J$11:$J$510,0))="Check details","Check details: "&amp;INDEX(Register!$I$11:$I$510,MATCH($H139,Register!$J$11:$J$510,0)),INDEX(Register!$G$11:$G$510,MATCH($H139,Register!$J$11:$J$510,0))))</f>
        <v/>
      </c>
      <c r="H139" s="28" t="str">
        <f aca="false">IF(133&gt;COUNT(Register!$J$11:$J$510),"",SMALL(Register!$J$11:$J$510,133))</f>
        <v/>
      </c>
    </row>
    <row r="140" customFormat="false" ht="15" hidden="false" customHeight="false" outlineLevel="0" collapsed="false">
      <c r="A140" s="25" t="str">
        <f aca="false">IF($H140="","",INDEX(Register!$A$11:$A$510,MATCH($H140,Register!$J$11:$J$510,0))&amp;"")</f>
        <v/>
      </c>
      <c r="B140" s="25" t="str">
        <f aca="false">IF($H140="","",INDEX(Register!$B$11:$B$510,MATCH($H140,Register!$J$11:$J$510,0))&amp;"")</f>
        <v/>
      </c>
      <c r="C140" s="25" t="str">
        <f aca="false">IF($H140="","",INDEX(Register!$C$11:$C$510,MATCH($H140,Register!$J$11:$J$510,0))&amp;"")</f>
        <v/>
      </c>
      <c r="D140" s="26" t="str">
        <f aca="false">IF($H140="","",IF(ISNUMBER(INDEX(Register!$D$11:$D$510,MATCH($H140,Register!$J$11:$J$510,0))),INDEX(Register!$D$11:$D$510,MATCH($H140,Register!$J$11:$J$510,0)),INDEX(Register!$D$11:$D$510,MATCH($H140,Register!$J$11:$J$510,0))&amp;""))</f>
        <v/>
      </c>
      <c r="E140" s="25" t="str">
        <f aca="false">IF($H140="","",IF(ISNUMBER(INDEX(Register!$E$11:$E$510,MATCH($H140,Register!$J$11:$J$510,0))),INDEX(Register!$E$11:$E$510,MATCH($H140,Register!$J$11:$J$510,0))&amp;" mo",INDEX(Register!$E$11:$E$510,MATCH($H140,Register!$J$11:$J$510,0))&amp;""))</f>
        <v/>
      </c>
      <c r="F140" s="26" t="str">
        <f aca="false">IF($H140="","",INDEX(Register!$F$11:$F$510,MATCH($H140,Register!$J$11:$J$510,0)))</f>
        <v/>
      </c>
      <c r="G140" s="27" t="str">
        <f aca="false">IF($H140="","",IF(INDEX(Register!$G$11:$G$510,MATCH($H140,Register!$J$11:$J$510,0))="Check details","Check details: "&amp;INDEX(Register!$I$11:$I$510,MATCH($H140,Register!$J$11:$J$510,0)),INDEX(Register!$G$11:$G$510,MATCH($H140,Register!$J$11:$J$510,0))))</f>
        <v/>
      </c>
      <c r="H140" s="28" t="str">
        <f aca="false">IF(134&gt;COUNT(Register!$J$11:$J$510),"",SMALL(Register!$J$11:$J$510,134))</f>
        <v/>
      </c>
    </row>
    <row r="141" customFormat="false" ht="15" hidden="false" customHeight="false" outlineLevel="0" collapsed="false">
      <c r="A141" s="25" t="str">
        <f aca="false">IF($H141="","",INDEX(Register!$A$11:$A$510,MATCH($H141,Register!$J$11:$J$510,0))&amp;"")</f>
        <v/>
      </c>
      <c r="B141" s="25" t="str">
        <f aca="false">IF($H141="","",INDEX(Register!$B$11:$B$510,MATCH($H141,Register!$J$11:$J$510,0))&amp;"")</f>
        <v/>
      </c>
      <c r="C141" s="25" t="str">
        <f aca="false">IF($H141="","",INDEX(Register!$C$11:$C$510,MATCH($H141,Register!$J$11:$J$510,0))&amp;"")</f>
        <v/>
      </c>
      <c r="D141" s="26" t="str">
        <f aca="false">IF($H141="","",IF(ISNUMBER(INDEX(Register!$D$11:$D$510,MATCH($H141,Register!$J$11:$J$510,0))),INDEX(Register!$D$11:$D$510,MATCH($H141,Register!$J$11:$J$510,0)),INDEX(Register!$D$11:$D$510,MATCH($H141,Register!$J$11:$J$510,0))&amp;""))</f>
        <v/>
      </c>
      <c r="E141" s="25" t="str">
        <f aca="false">IF($H141="","",IF(ISNUMBER(INDEX(Register!$E$11:$E$510,MATCH($H141,Register!$J$11:$J$510,0))),INDEX(Register!$E$11:$E$510,MATCH($H141,Register!$J$11:$J$510,0))&amp;" mo",INDEX(Register!$E$11:$E$510,MATCH($H141,Register!$J$11:$J$510,0))&amp;""))</f>
        <v/>
      </c>
      <c r="F141" s="26" t="str">
        <f aca="false">IF($H141="","",INDEX(Register!$F$11:$F$510,MATCH($H141,Register!$J$11:$J$510,0)))</f>
        <v/>
      </c>
      <c r="G141" s="27" t="str">
        <f aca="false">IF($H141="","",IF(INDEX(Register!$G$11:$G$510,MATCH($H141,Register!$J$11:$J$510,0))="Check details","Check details: "&amp;INDEX(Register!$I$11:$I$510,MATCH($H141,Register!$J$11:$J$510,0)),INDEX(Register!$G$11:$G$510,MATCH($H141,Register!$J$11:$J$510,0))))</f>
        <v/>
      </c>
      <c r="H141" s="28" t="str">
        <f aca="false">IF(135&gt;COUNT(Register!$J$11:$J$510),"",SMALL(Register!$J$11:$J$510,135))</f>
        <v/>
      </c>
    </row>
    <row r="142" customFormat="false" ht="15" hidden="false" customHeight="false" outlineLevel="0" collapsed="false">
      <c r="A142" s="25" t="str">
        <f aca="false">IF($H142="","",INDEX(Register!$A$11:$A$510,MATCH($H142,Register!$J$11:$J$510,0))&amp;"")</f>
        <v/>
      </c>
      <c r="B142" s="25" t="str">
        <f aca="false">IF($H142="","",INDEX(Register!$B$11:$B$510,MATCH($H142,Register!$J$11:$J$510,0))&amp;"")</f>
        <v/>
      </c>
      <c r="C142" s="25" t="str">
        <f aca="false">IF($H142="","",INDEX(Register!$C$11:$C$510,MATCH($H142,Register!$J$11:$J$510,0))&amp;"")</f>
        <v/>
      </c>
      <c r="D142" s="26" t="str">
        <f aca="false">IF($H142="","",IF(ISNUMBER(INDEX(Register!$D$11:$D$510,MATCH($H142,Register!$J$11:$J$510,0))),INDEX(Register!$D$11:$D$510,MATCH($H142,Register!$J$11:$J$510,0)),INDEX(Register!$D$11:$D$510,MATCH($H142,Register!$J$11:$J$510,0))&amp;""))</f>
        <v/>
      </c>
      <c r="E142" s="25" t="str">
        <f aca="false">IF($H142="","",IF(ISNUMBER(INDEX(Register!$E$11:$E$510,MATCH($H142,Register!$J$11:$J$510,0))),INDEX(Register!$E$11:$E$510,MATCH($H142,Register!$J$11:$J$510,0))&amp;" mo",INDEX(Register!$E$11:$E$510,MATCH($H142,Register!$J$11:$J$510,0))&amp;""))</f>
        <v/>
      </c>
      <c r="F142" s="26" t="str">
        <f aca="false">IF($H142="","",INDEX(Register!$F$11:$F$510,MATCH($H142,Register!$J$11:$J$510,0)))</f>
        <v/>
      </c>
      <c r="G142" s="27" t="str">
        <f aca="false">IF($H142="","",IF(INDEX(Register!$G$11:$G$510,MATCH($H142,Register!$J$11:$J$510,0))="Check details","Check details: "&amp;INDEX(Register!$I$11:$I$510,MATCH($H142,Register!$J$11:$J$510,0)),INDEX(Register!$G$11:$G$510,MATCH($H142,Register!$J$11:$J$510,0))))</f>
        <v/>
      </c>
      <c r="H142" s="28" t="str">
        <f aca="false">IF(136&gt;COUNT(Register!$J$11:$J$510),"",SMALL(Register!$J$11:$J$510,136))</f>
        <v/>
      </c>
    </row>
    <row r="143" customFormat="false" ht="15" hidden="false" customHeight="false" outlineLevel="0" collapsed="false">
      <c r="A143" s="25" t="str">
        <f aca="false">IF($H143="","",INDEX(Register!$A$11:$A$510,MATCH($H143,Register!$J$11:$J$510,0))&amp;"")</f>
        <v/>
      </c>
      <c r="B143" s="25" t="str">
        <f aca="false">IF($H143="","",INDEX(Register!$B$11:$B$510,MATCH($H143,Register!$J$11:$J$510,0))&amp;"")</f>
        <v/>
      </c>
      <c r="C143" s="25" t="str">
        <f aca="false">IF($H143="","",INDEX(Register!$C$11:$C$510,MATCH($H143,Register!$J$11:$J$510,0))&amp;"")</f>
        <v/>
      </c>
      <c r="D143" s="26" t="str">
        <f aca="false">IF($H143="","",IF(ISNUMBER(INDEX(Register!$D$11:$D$510,MATCH($H143,Register!$J$11:$J$510,0))),INDEX(Register!$D$11:$D$510,MATCH($H143,Register!$J$11:$J$510,0)),INDEX(Register!$D$11:$D$510,MATCH($H143,Register!$J$11:$J$510,0))&amp;""))</f>
        <v/>
      </c>
      <c r="E143" s="25" t="str">
        <f aca="false">IF($H143="","",IF(ISNUMBER(INDEX(Register!$E$11:$E$510,MATCH($H143,Register!$J$11:$J$510,0))),INDEX(Register!$E$11:$E$510,MATCH($H143,Register!$J$11:$J$510,0))&amp;" mo",INDEX(Register!$E$11:$E$510,MATCH($H143,Register!$J$11:$J$510,0))&amp;""))</f>
        <v/>
      </c>
      <c r="F143" s="26" t="str">
        <f aca="false">IF($H143="","",INDEX(Register!$F$11:$F$510,MATCH($H143,Register!$J$11:$J$510,0)))</f>
        <v/>
      </c>
      <c r="G143" s="27" t="str">
        <f aca="false">IF($H143="","",IF(INDEX(Register!$G$11:$G$510,MATCH($H143,Register!$J$11:$J$510,0))="Check details","Check details: "&amp;INDEX(Register!$I$11:$I$510,MATCH($H143,Register!$J$11:$J$510,0)),INDEX(Register!$G$11:$G$510,MATCH($H143,Register!$J$11:$J$510,0))))</f>
        <v/>
      </c>
      <c r="H143" s="28" t="str">
        <f aca="false">IF(137&gt;COUNT(Register!$J$11:$J$510),"",SMALL(Register!$J$11:$J$510,137))</f>
        <v/>
      </c>
    </row>
    <row r="144" customFormat="false" ht="15" hidden="false" customHeight="false" outlineLevel="0" collapsed="false">
      <c r="A144" s="25" t="str">
        <f aca="false">IF($H144="","",INDEX(Register!$A$11:$A$510,MATCH($H144,Register!$J$11:$J$510,0))&amp;"")</f>
        <v/>
      </c>
      <c r="B144" s="25" t="str">
        <f aca="false">IF($H144="","",INDEX(Register!$B$11:$B$510,MATCH($H144,Register!$J$11:$J$510,0))&amp;"")</f>
        <v/>
      </c>
      <c r="C144" s="25" t="str">
        <f aca="false">IF($H144="","",INDEX(Register!$C$11:$C$510,MATCH($H144,Register!$J$11:$J$510,0))&amp;"")</f>
        <v/>
      </c>
      <c r="D144" s="26" t="str">
        <f aca="false">IF($H144="","",IF(ISNUMBER(INDEX(Register!$D$11:$D$510,MATCH($H144,Register!$J$11:$J$510,0))),INDEX(Register!$D$11:$D$510,MATCH($H144,Register!$J$11:$J$510,0)),INDEX(Register!$D$11:$D$510,MATCH($H144,Register!$J$11:$J$510,0))&amp;""))</f>
        <v/>
      </c>
      <c r="E144" s="25" t="str">
        <f aca="false">IF($H144="","",IF(ISNUMBER(INDEX(Register!$E$11:$E$510,MATCH($H144,Register!$J$11:$J$510,0))),INDEX(Register!$E$11:$E$510,MATCH($H144,Register!$J$11:$J$510,0))&amp;" mo",INDEX(Register!$E$11:$E$510,MATCH($H144,Register!$J$11:$J$510,0))&amp;""))</f>
        <v/>
      </c>
      <c r="F144" s="26" t="str">
        <f aca="false">IF($H144="","",INDEX(Register!$F$11:$F$510,MATCH($H144,Register!$J$11:$J$510,0)))</f>
        <v/>
      </c>
      <c r="G144" s="27" t="str">
        <f aca="false">IF($H144="","",IF(INDEX(Register!$G$11:$G$510,MATCH($H144,Register!$J$11:$J$510,0))="Check details","Check details: "&amp;INDEX(Register!$I$11:$I$510,MATCH($H144,Register!$J$11:$J$510,0)),INDEX(Register!$G$11:$G$510,MATCH($H144,Register!$J$11:$J$510,0))))</f>
        <v/>
      </c>
      <c r="H144" s="28" t="str">
        <f aca="false">IF(138&gt;COUNT(Register!$J$11:$J$510),"",SMALL(Register!$J$11:$J$510,138))</f>
        <v/>
      </c>
    </row>
    <row r="145" customFormat="false" ht="15" hidden="false" customHeight="false" outlineLevel="0" collapsed="false">
      <c r="A145" s="25" t="str">
        <f aca="false">IF($H145="","",INDEX(Register!$A$11:$A$510,MATCH($H145,Register!$J$11:$J$510,0))&amp;"")</f>
        <v/>
      </c>
      <c r="B145" s="25" t="str">
        <f aca="false">IF($H145="","",INDEX(Register!$B$11:$B$510,MATCH($H145,Register!$J$11:$J$510,0))&amp;"")</f>
        <v/>
      </c>
      <c r="C145" s="25" t="str">
        <f aca="false">IF($H145="","",INDEX(Register!$C$11:$C$510,MATCH($H145,Register!$J$11:$J$510,0))&amp;"")</f>
        <v/>
      </c>
      <c r="D145" s="26" t="str">
        <f aca="false">IF($H145="","",IF(ISNUMBER(INDEX(Register!$D$11:$D$510,MATCH($H145,Register!$J$11:$J$510,0))),INDEX(Register!$D$11:$D$510,MATCH($H145,Register!$J$11:$J$510,0)),INDEX(Register!$D$11:$D$510,MATCH($H145,Register!$J$11:$J$510,0))&amp;""))</f>
        <v/>
      </c>
      <c r="E145" s="25" t="str">
        <f aca="false">IF($H145="","",IF(ISNUMBER(INDEX(Register!$E$11:$E$510,MATCH($H145,Register!$J$11:$J$510,0))),INDEX(Register!$E$11:$E$510,MATCH($H145,Register!$J$11:$J$510,0))&amp;" mo",INDEX(Register!$E$11:$E$510,MATCH($H145,Register!$J$11:$J$510,0))&amp;""))</f>
        <v/>
      </c>
      <c r="F145" s="26" t="str">
        <f aca="false">IF($H145="","",INDEX(Register!$F$11:$F$510,MATCH($H145,Register!$J$11:$J$510,0)))</f>
        <v/>
      </c>
      <c r="G145" s="27" t="str">
        <f aca="false">IF($H145="","",IF(INDEX(Register!$G$11:$G$510,MATCH($H145,Register!$J$11:$J$510,0))="Check details","Check details: "&amp;INDEX(Register!$I$11:$I$510,MATCH($H145,Register!$J$11:$J$510,0)),INDEX(Register!$G$11:$G$510,MATCH($H145,Register!$J$11:$J$510,0))))</f>
        <v/>
      </c>
      <c r="H145" s="28" t="str">
        <f aca="false">IF(139&gt;COUNT(Register!$J$11:$J$510),"",SMALL(Register!$J$11:$J$510,139))</f>
        <v/>
      </c>
    </row>
    <row r="146" customFormat="false" ht="15" hidden="false" customHeight="false" outlineLevel="0" collapsed="false">
      <c r="A146" s="25" t="str">
        <f aca="false">IF($H146="","",INDEX(Register!$A$11:$A$510,MATCH($H146,Register!$J$11:$J$510,0))&amp;"")</f>
        <v/>
      </c>
      <c r="B146" s="25" t="str">
        <f aca="false">IF($H146="","",INDEX(Register!$B$11:$B$510,MATCH($H146,Register!$J$11:$J$510,0))&amp;"")</f>
        <v/>
      </c>
      <c r="C146" s="25" t="str">
        <f aca="false">IF($H146="","",INDEX(Register!$C$11:$C$510,MATCH($H146,Register!$J$11:$J$510,0))&amp;"")</f>
        <v/>
      </c>
      <c r="D146" s="26" t="str">
        <f aca="false">IF($H146="","",IF(ISNUMBER(INDEX(Register!$D$11:$D$510,MATCH($H146,Register!$J$11:$J$510,0))),INDEX(Register!$D$11:$D$510,MATCH($H146,Register!$J$11:$J$510,0)),INDEX(Register!$D$11:$D$510,MATCH($H146,Register!$J$11:$J$510,0))&amp;""))</f>
        <v/>
      </c>
      <c r="E146" s="25" t="str">
        <f aca="false">IF($H146="","",IF(ISNUMBER(INDEX(Register!$E$11:$E$510,MATCH($H146,Register!$J$11:$J$510,0))),INDEX(Register!$E$11:$E$510,MATCH($H146,Register!$J$11:$J$510,0))&amp;" mo",INDEX(Register!$E$11:$E$510,MATCH($H146,Register!$J$11:$J$510,0))&amp;""))</f>
        <v/>
      </c>
      <c r="F146" s="26" t="str">
        <f aca="false">IF($H146="","",INDEX(Register!$F$11:$F$510,MATCH($H146,Register!$J$11:$J$510,0)))</f>
        <v/>
      </c>
      <c r="G146" s="27" t="str">
        <f aca="false">IF($H146="","",IF(INDEX(Register!$G$11:$G$510,MATCH($H146,Register!$J$11:$J$510,0))="Check details","Check details: "&amp;INDEX(Register!$I$11:$I$510,MATCH($H146,Register!$J$11:$J$510,0)),INDEX(Register!$G$11:$G$510,MATCH($H146,Register!$J$11:$J$510,0))))</f>
        <v/>
      </c>
      <c r="H146" s="28" t="str">
        <f aca="false">IF(140&gt;COUNT(Register!$J$11:$J$510),"",SMALL(Register!$J$11:$J$510,140))</f>
        <v/>
      </c>
    </row>
    <row r="147" customFormat="false" ht="15" hidden="false" customHeight="false" outlineLevel="0" collapsed="false">
      <c r="A147" s="25" t="str">
        <f aca="false">IF($H147="","",INDEX(Register!$A$11:$A$510,MATCH($H147,Register!$J$11:$J$510,0))&amp;"")</f>
        <v/>
      </c>
      <c r="B147" s="25" t="str">
        <f aca="false">IF($H147="","",INDEX(Register!$B$11:$B$510,MATCH($H147,Register!$J$11:$J$510,0))&amp;"")</f>
        <v/>
      </c>
      <c r="C147" s="25" t="str">
        <f aca="false">IF($H147="","",INDEX(Register!$C$11:$C$510,MATCH($H147,Register!$J$11:$J$510,0))&amp;"")</f>
        <v/>
      </c>
      <c r="D147" s="26" t="str">
        <f aca="false">IF($H147="","",IF(ISNUMBER(INDEX(Register!$D$11:$D$510,MATCH($H147,Register!$J$11:$J$510,0))),INDEX(Register!$D$11:$D$510,MATCH($H147,Register!$J$11:$J$510,0)),INDEX(Register!$D$11:$D$510,MATCH($H147,Register!$J$11:$J$510,0))&amp;""))</f>
        <v/>
      </c>
      <c r="E147" s="25" t="str">
        <f aca="false">IF($H147="","",IF(ISNUMBER(INDEX(Register!$E$11:$E$510,MATCH($H147,Register!$J$11:$J$510,0))),INDEX(Register!$E$11:$E$510,MATCH($H147,Register!$J$11:$J$510,0))&amp;" mo",INDEX(Register!$E$11:$E$510,MATCH($H147,Register!$J$11:$J$510,0))&amp;""))</f>
        <v/>
      </c>
      <c r="F147" s="26" t="str">
        <f aca="false">IF($H147="","",INDEX(Register!$F$11:$F$510,MATCH($H147,Register!$J$11:$J$510,0)))</f>
        <v/>
      </c>
      <c r="G147" s="27" t="str">
        <f aca="false">IF($H147="","",IF(INDEX(Register!$G$11:$G$510,MATCH($H147,Register!$J$11:$J$510,0))="Check details","Check details: "&amp;INDEX(Register!$I$11:$I$510,MATCH($H147,Register!$J$11:$J$510,0)),INDEX(Register!$G$11:$G$510,MATCH($H147,Register!$J$11:$J$510,0))))</f>
        <v/>
      </c>
      <c r="H147" s="28" t="str">
        <f aca="false">IF(141&gt;COUNT(Register!$J$11:$J$510),"",SMALL(Register!$J$11:$J$510,141))</f>
        <v/>
      </c>
    </row>
    <row r="148" customFormat="false" ht="15" hidden="false" customHeight="false" outlineLevel="0" collapsed="false">
      <c r="A148" s="25" t="str">
        <f aca="false">IF($H148="","",INDEX(Register!$A$11:$A$510,MATCH($H148,Register!$J$11:$J$510,0))&amp;"")</f>
        <v/>
      </c>
      <c r="B148" s="25" t="str">
        <f aca="false">IF($H148="","",INDEX(Register!$B$11:$B$510,MATCH($H148,Register!$J$11:$J$510,0))&amp;"")</f>
        <v/>
      </c>
      <c r="C148" s="25" t="str">
        <f aca="false">IF($H148="","",INDEX(Register!$C$11:$C$510,MATCH($H148,Register!$J$11:$J$510,0))&amp;"")</f>
        <v/>
      </c>
      <c r="D148" s="26" t="str">
        <f aca="false">IF($H148="","",IF(ISNUMBER(INDEX(Register!$D$11:$D$510,MATCH($H148,Register!$J$11:$J$510,0))),INDEX(Register!$D$11:$D$510,MATCH($H148,Register!$J$11:$J$510,0)),INDEX(Register!$D$11:$D$510,MATCH($H148,Register!$J$11:$J$510,0))&amp;""))</f>
        <v/>
      </c>
      <c r="E148" s="25" t="str">
        <f aca="false">IF($H148="","",IF(ISNUMBER(INDEX(Register!$E$11:$E$510,MATCH($H148,Register!$J$11:$J$510,0))),INDEX(Register!$E$11:$E$510,MATCH($H148,Register!$J$11:$J$510,0))&amp;" mo",INDEX(Register!$E$11:$E$510,MATCH($H148,Register!$J$11:$J$510,0))&amp;""))</f>
        <v/>
      </c>
      <c r="F148" s="26" t="str">
        <f aca="false">IF($H148="","",INDEX(Register!$F$11:$F$510,MATCH($H148,Register!$J$11:$J$510,0)))</f>
        <v/>
      </c>
      <c r="G148" s="27" t="str">
        <f aca="false">IF($H148="","",IF(INDEX(Register!$G$11:$G$510,MATCH($H148,Register!$J$11:$J$510,0))="Check details","Check details: "&amp;INDEX(Register!$I$11:$I$510,MATCH($H148,Register!$J$11:$J$510,0)),INDEX(Register!$G$11:$G$510,MATCH($H148,Register!$J$11:$J$510,0))))</f>
        <v/>
      </c>
      <c r="H148" s="28" t="str">
        <f aca="false">IF(142&gt;COUNT(Register!$J$11:$J$510),"",SMALL(Register!$J$11:$J$510,142))</f>
        <v/>
      </c>
    </row>
    <row r="149" customFormat="false" ht="15" hidden="false" customHeight="false" outlineLevel="0" collapsed="false">
      <c r="A149" s="25" t="str">
        <f aca="false">IF($H149="","",INDEX(Register!$A$11:$A$510,MATCH($H149,Register!$J$11:$J$510,0))&amp;"")</f>
        <v/>
      </c>
      <c r="B149" s="25" t="str">
        <f aca="false">IF($H149="","",INDEX(Register!$B$11:$B$510,MATCH($H149,Register!$J$11:$J$510,0))&amp;"")</f>
        <v/>
      </c>
      <c r="C149" s="25" t="str">
        <f aca="false">IF($H149="","",INDEX(Register!$C$11:$C$510,MATCH($H149,Register!$J$11:$J$510,0))&amp;"")</f>
        <v/>
      </c>
      <c r="D149" s="26" t="str">
        <f aca="false">IF($H149="","",IF(ISNUMBER(INDEX(Register!$D$11:$D$510,MATCH($H149,Register!$J$11:$J$510,0))),INDEX(Register!$D$11:$D$510,MATCH($H149,Register!$J$11:$J$510,0)),INDEX(Register!$D$11:$D$510,MATCH($H149,Register!$J$11:$J$510,0))&amp;""))</f>
        <v/>
      </c>
      <c r="E149" s="25" t="str">
        <f aca="false">IF($H149="","",IF(ISNUMBER(INDEX(Register!$E$11:$E$510,MATCH($H149,Register!$J$11:$J$510,0))),INDEX(Register!$E$11:$E$510,MATCH($H149,Register!$J$11:$J$510,0))&amp;" mo",INDEX(Register!$E$11:$E$510,MATCH($H149,Register!$J$11:$J$510,0))&amp;""))</f>
        <v/>
      </c>
      <c r="F149" s="26" t="str">
        <f aca="false">IF($H149="","",INDEX(Register!$F$11:$F$510,MATCH($H149,Register!$J$11:$J$510,0)))</f>
        <v/>
      </c>
      <c r="G149" s="27" t="str">
        <f aca="false">IF($H149="","",IF(INDEX(Register!$G$11:$G$510,MATCH($H149,Register!$J$11:$J$510,0))="Check details","Check details: "&amp;INDEX(Register!$I$11:$I$510,MATCH($H149,Register!$J$11:$J$510,0)),INDEX(Register!$G$11:$G$510,MATCH($H149,Register!$J$11:$J$510,0))))</f>
        <v/>
      </c>
      <c r="H149" s="28" t="str">
        <f aca="false">IF(143&gt;COUNT(Register!$J$11:$J$510),"",SMALL(Register!$J$11:$J$510,143))</f>
        <v/>
      </c>
    </row>
    <row r="150" customFormat="false" ht="15" hidden="false" customHeight="false" outlineLevel="0" collapsed="false">
      <c r="A150" s="25" t="str">
        <f aca="false">IF($H150="","",INDEX(Register!$A$11:$A$510,MATCH($H150,Register!$J$11:$J$510,0))&amp;"")</f>
        <v/>
      </c>
      <c r="B150" s="25" t="str">
        <f aca="false">IF($H150="","",INDEX(Register!$B$11:$B$510,MATCH($H150,Register!$J$11:$J$510,0))&amp;"")</f>
        <v/>
      </c>
      <c r="C150" s="25" t="str">
        <f aca="false">IF($H150="","",INDEX(Register!$C$11:$C$510,MATCH($H150,Register!$J$11:$J$510,0))&amp;"")</f>
        <v/>
      </c>
      <c r="D150" s="26" t="str">
        <f aca="false">IF($H150="","",IF(ISNUMBER(INDEX(Register!$D$11:$D$510,MATCH($H150,Register!$J$11:$J$510,0))),INDEX(Register!$D$11:$D$510,MATCH($H150,Register!$J$11:$J$510,0)),INDEX(Register!$D$11:$D$510,MATCH($H150,Register!$J$11:$J$510,0))&amp;""))</f>
        <v/>
      </c>
      <c r="E150" s="25" t="str">
        <f aca="false">IF($H150="","",IF(ISNUMBER(INDEX(Register!$E$11:$E$510,MATCH($H150,Register!$J$11:$J$510,0))),INDEX(Register!$E$11:$E$510,MATCH($H150,Register!$J$11:$J$510,0))&amp;" mo",INDEX(Register!$E$11:$E$510,MATCH($H150,Register!$J$11:$J$510,0))&amp;""))</f>
        <v/>
      </c>
      <c r="F150" s="26" t="str">
        <f aca="false">IF($H150="","",INDEX(Register!$F$11:$F$510,MATCH($H150,Register!$J$11:$J$510,0)))</f>
        <v/>
      </c>
      <c r="G150" s="27" t="str">
        <f aca="false">IF($H150="","",IF(INDEX(Register!$G$11:$G$510,MATCH($H150,Register!$J$11:$J$510,0))="Check details","Check details: "&amp;INDEX(Register!$I$11:$I$510,MATCH($H150,Register!$J$11:$J$510,0)),INDEX(Register!$G$11:$G$510,MATCH($H150,Register!$J$11:$J$510,0))))</f>
        <v/>
      </c>
      <c r="H150" s="28" t="str">
        <f aca="false">IF(144&gt;COUNT(Register!$J$11:$J$510),"",SMALL(Register!$J$11:$J$510,144))</f>
        <v/>
      </c>
    </row>
    <row r="151" customFormat="false" ht="15" hidden="false" customHeight="false" outlineLevel="0" collapsed="false">
      <c r="A151" s="25" t="str">
        <f aca="false">IF($H151="","",INDEX(Register!$A$11:$A$510,MATCH($H151,Register!$J$11:$J$510,0))&amp;"")</f>
        <v/>
      </c>
      <c r="B151" s="25" t="str">
        <f aca="false">IF($H151="","",INDEX(Register!$B$11:$B$510,MATCH($H151,Register!$J$11:$J$510,0))&amp;"")</f>
        <v/>
      </c>
      <c r="C151" s="25" t="str">
        <f aca="false">IF($H151="","",INDEX(Register!$C$11:$C$510,MATCH($H151,Register!$J$11:$J$510,0))&amp;"")</f>
        <v/>
      </c>
      <c r="D151" s="26" t="str">
        <f aca="false">IF($H151="","",IF(ISNUMBER(INDEX(Register!$D$11:$D$510,MATCH($H151,Register!$J$11:$J$510,0))),INDEX(Register!$D$11:$D$510,MATCH($H151,Register!$J$11:$J$510,0)),INDEX(Register!$D$11:$D$510,MATCH($H151,Register!$J$11:$J$510,0))&amp;""))</f>
        <v/>
      </c>
      <c r="E151" s="25" t="str">
        <f aca="false">IF($H151="","",IF(ISNUMBER(INDEX(Register!$E$11:$E$510,MATCH($H151,Register!$J$11:$J$510,0))),INDEX(Register!$E$11:$E$510,MATCH($H151,Register!$J$11:$J$510,0))&amp;" mo",INDEX(Register!$E$11:$E$510,MATCH($H151,Register!$J$11:$J$510,0))&amp;""))</f>
        <v/>
      </c>
      <c r="F151" s="26" t="str">
        <f aca="false">IF($H151="","",INDEX(Register!$F$11:$F$510,MATCH($H151,Register!$J$11:$J$510,0)))</f>
        <v/>
      </c>
      <c r="G151" s="27" t="str">
        <f aca="false">IF($H151="","",IF(INDEX(Register!$G$11:$G$510,MATCH($H151,Register!$J$11:$J$510,0))="Check details","Check details: "&amp;INDEX(Register!$I$11:$I$510,MATCH($H151,Register!$J$11:$J$510,0)),INDEX(Register!$G$11:$G$510,MATCH($H151,Register!$J$11:$J$510,0))))</f>
        <v/>
      </c>
      <c r="H151" s="28" t="str">
        <f aca="false">IF(145&gt;COUNT(Register!$J$11:$J$510),"",SMALL(Register!$J$11:$J$510,145))</f>
        <v/>
      </c>
    </row>
    <row r="152" customFormat="false" ht="15" hidden="false" customHeight="false" outlineLevel="0" collapsed="false">
      <c r="A152" s="25" t="str">
        <f aca="false">IF($H152="","",INDEX(Register!$A$11:$A$510,MATCH($H152,Register!$J$11:$J$510,0))&amp;"")</f>
        <v/>
      </c>
      <c r="B152" s="25" t="str">
        <f aca="false">IF($H152="","",INDEX(Register!$B$11:$B$510,MATCH($H152,Register!$J$11:$J$510,0))&amp;"")</f>
        <v/>
      </c>
      <c r="C152" s="25" t="str">
        <f aca="false">IF($H152="","",INDEX(Register!$C$11:$C$510,MATCH($H152,Register!$J$11:$J$510,0))&amp;"")</f>
        <v/>
      </c>
      <c r="D152" s="26" t="str">
        <f aca="false">IF($H152="","",IF(ISNUMBER(INDEX(Register!$D$11:$D$510,MATCH($H152,Register!$J$11:$J$510,0))),INDEX(Register!$D$11:$D$510,MATCH($H152,Register!$J$11:$J$510,0)),INDEX(Register!$D$11:$D$510,MATCH($H152,Register!$J$11:$J$510,0))&amp;""))</f>
        <v/>
      </c>
      <c r="E152" s="25" t="str">
        <f aca="false">IF($H152="","",IF(ISNUMBER(INDEX(Register!$E$11:$E$510,MATCH($H152,Register!$J$11:$J$510,0))),INDEX(Register!$E$11:$E$510,MATCH($H152,Register!$J$11:$J$510,0))&amp;" mo",INDEX(Register!$E$11:$E$510,MATCH($H152,Register!$J$11:$J$510,0))&amp;""))</f>
        <v/>
      </c>
      <c r="F152" s="26" t="str">
        <f aca="false">IF($H152="","",INDEX(Register!$F$11:$F$510,MATCH($H152,Register!$J$11:$J$510,0)))</f>
        <v/>
      </c>
      <c r="G152" s="27" t="str">
        <f aca="false">IF($H152="","",IF(INDEX(Register!$G$11:$G$510,MATCH($H152,Register!$J$11:$J$510,0))="Check details","Check details: "&amp;INDEX(Register!$I$11:$I$510,MATCH($H152,Register!$J$11:$J$510,0)),INDEX(Register!$G$11:$G$510,MATCH($H152,Register!$J$11:$J$510,0))))</f>
        <v/>
      </c>
      <c r="H152" s="28" t="str">
        <f aca="false">IF(146&gt;COUNT(Register!$J$11:$J$510),"",SMALL(Register!$J$11:$J$510,146))</f>
        <v/>
      </c>
    </row>
    <row r="153" customFormat="false" ht="15" hidden="false" customHeight="false" outlineLevel="0" collapsed="false">
      <c r="A153" s="25" t="str">
        <f aca="false">IF($H153="","",INDEX(Register!$A$11:$A$510,MATCH($H153,Register!$J$11:$J$510,0))&amp;"")</f>
        <v/>
      </c>
      <c r="B153" s="25" t="str">
        <f aca="false">IF($H153="","",INDEX(Register!$B$11:$B$510,MATCH($H153,Register!$J$11:$J$510,0))&amp;"")</f>
        <v/>
      </c>
      <c r="C153" s="25" t="str">
        <f aca="false">IF($H153="","",INDEX(Register!$C$11:$C$510,MATCH($H153,Register!$J$11:$J$510,0))&amp;"")</f>
        <v/>
      </c>
      <c r="D153" s="26" t="str">
        <f aca="false">IF($H153="","",IF(ISNUMBER(INDEX(Register!$D$11:$D$510,MATCH($H153,Register!$J$11:$J$510,0))),INDEX(Register!$D$11:$D$510,MATCH($H153,Register!$J$11:$J$510,0)),INDEX(Register!$D$11:$D$510,MATCH($H153,Register!$J$11:$J$510,0))&amp;""))</f>
        <v/>
      </c>
      <c r="E153" s="25" t="str">
        <f aca="false">IF($H153="","",IF(ISNUMBER(INDEX(Register!$E$11:$E$510,MATCH($H153,Register!$J$11:$J$510,0))),INDEX(Register!$E$11:$E$510,MATCH($H153,Register!$J$11:$J$510,0))&amp;" mo",INDEX(Register!$E$11:$E$510,MATCH($H153,Register!$J$11:$J$510,0))&amp;""))</f>
        <v/>
      </c>
      <c r="F153" s="26" t="str">
        <f aca="false">IF($H153="","",INDEX(Register!$F$11:$F$510,MATCH($H153,Register!$J$11:$J$510,0)))</f>
        <v/>
      </c>
      <c r="G153" s="27" t="str">
        <f aca="false">IF($H153="","",IF(INDEX(Register!$G$11:$G$510,MATCH($H153,Register!$J$11:$J$510,0))="Check details","Check details: "&amp;INDEX(Register!$I$11:$I$510,MATCH($H153,Register!$J$11:$J$510,0)),INDEX(Register!$G$11:$G$510,MATCH($H153,Register!$J$11:$J$510,0))))</f>
        <v/>
      </c>
      <c r="H153" s="28" t="str">
        <f aca="false">IF(147&gt;COUNT(Register!$J$11:$J$510),"",SMALL(Register!$J$11:$J$510,147))</f>
        <v/>
      </c>
    </row>
    <row r="154" customFormat="false" ht="15" hidden="false" customHeight="false" outlineLevel="0" collapsed="false">
      <c r="A154" s="25" t="str">
        <f aca="false">IF($H154="","",INDEX(Register!$A$11:$A$510,MATCH($H154,Register!$J$11:$J$510,0))&amp;"")</f>
        <v/>
      </c>
      <c r="B154" s="25" t="str">
        <f aca="false">IF($H154="","",INDEX(Register!$B$11:$B$510,MATCH($H154,Register!$J$11:$J$510,0))&amp;"")</f>
        <v/>
      </c>
      <c r="C154" s="25" t="str">
        <f aca="false">IF($H154="","",INDEX(Register!$C$11:$C$510,MATCH($H154,Register!$J$11:$J$510,0))&amp;"")</f>
        <v/>
      </c>
      <c r="D154" s="26" t="str">
        <f aca="false">IF($H154="","",IF(ISNUMBER(INDEX(Register!$D$11:$D$510,MATCH($H154,Register!$J$11:$J$510,0))),INDEX(Register!$D$11:$D$510,MATCH($H154,Register!$J$11:$J$510,0)),INDEX(Register!$D$11:$D$510,MATCH($H154,Register!$J$11:$J$510,0))&amp;""))</f>
        <v/>
      </c>
      <c r="E154" s="25" t="str">
        <f aca="false">IF($H154="","",IF(ISNUMBER(INDEX(Register!$E$11:$E$510,MATCH($H154,Register!$J$11:$J$510,0))),INDEX(Register!$E$11:$E$510,MATCH($H154,Register!$J$11:$J$510,0))&amp;" mo",INDEX(Register!$E$11:$E$510,MATCH($H154,Register!$J$11:$J$510,0))&amp;""))</f>
        <v/>
      </c>
      <c r="F154" s="26" t="str">
        <f aca="false">IF($H154="","",INDEX(Register!$F$11:$F$510,MATCH($H154,Register!$J$11:$J$510,0)))</f>
        <v/>
      </c>
      <c r="G154" s="27" t="str">
        <f aca="false">IF($H154="","",IF(INDEX(Register!$G$11:$G$510,MATCH($H154,Register!$J$11:$J$510,0))="Check details","Check details: "&amp;INDEX(Register!$I$11:$I$510,MATCH($H154,Register!$J$11:$J$510,0)),INDEX(Register!$G$11:$G$510,MATCH($H154,Register!$J$11:$J$510,0))))</f>
        <v/>
      </c>
      <c r="H154" s="28" t="str">
        <f aca="false">IF(148&gt;COUNT(Register!$J$11:$J$510),"",SMALL(Register!$J$11:$J$510,148))</f>
        <v/>
      </c>
    </row>
    <row r="155" customFormat="false" ht="15" hidden="false" customHeight="false" outlineLevel="0" collapsed="false">
      <c r="A155" s="25" t="str">
        <f aca="false">IF($H155="","",INDEX(Register!$A$11:$A$510,MATCH($H155,Register!$J$11:$J$510,0))&amp;"")</f>
        <v/>
      </c>
      <c r="B155" s="25" t="str">
        <f aca="false">IF($H155="","",INDEX(Register!$B$11:$B$510,MATCH($H155,Register!$J$11:$J$510,0))&amp;"")</f>
        <v/>
      </c>
      <c r="C155" s="25" t="str">
        <f aca="false">IF($H155="","",INDEX(Register!$C$11:$C$510,MATCH($H155,Register!$J$11:$J$510,0))&amp;"")</f>
        <v/>
      </c>
      <c r="D155" s="26" t="str">
        <f aca="false">IF($H155="","",IF(ISNUMBER(INDEX(Register!$D$11:$D$510,MATCH($H155,Register!$J$11:$J$510,0))),INDEX(Register!$D$11:$D$510,MATCH($H155,Register!$J$11:$J$510,0)),INDEX(Register!$D$11:$D$510,MATCH($H155,Register!$J$11:$J$510,0))&amp;""))</f>
        <v/>
      </c>
      <c r="E155" s="25" t="str">
        <f aca="false">IF($H155="","",IF(ISNUMBER(INDEX(Register!$E$11:$E$510,MATCH($H155,Register!$J$11:$J$510,0))),INDEX(Register!$E$11:$E$510,MATCH($H155,Register!$J$11:$J$510,0))&amp;" mo",INDEX(Register!$E$11:$E$510,MATCH($H155,Register!$J$11:$J$510,0))&amp;""))</f>
        <v/>
      </c>
      <c r="F155" s="26" t="str">
        <f aca="false">IF($H155="","",INDEX(Register!$F$11:$F$510,MATCH($H155,Register!$J$11:$J$510,0)))</f>
        <v/>
      </c>
      <c r="G155" s="27" t="str">
        <f aca="false">IF($H155="","",IF(INDEX(Register!$G$11:$G$510,MATCH($H155,Register!$J$11:$J$510,0))="Check details","Check details: "&amp;INDEX(Register!$I$11:$I$510,MATCH($H155,Register!$J$11:$J$510,0)),INDEX(Register!$G$11:$G$510,MATCH($H155,Register!$J$11:$J$510,0))))</f>
        <v/>
      </c>
      <c r="H155" s="28" t="str">
        <f aca="false">IF(149&gt;COUNT(Register!$J$11:$J$510),"",SMALL(Register!$J$11:$J$510,149))</f>
        <v/>
      </c>
    </row>
    <row r="156" customFormat="false" ht="15" hidden="false" customHeight="false" outlineLevel="0" collapsed="false">
      <c r="A156" s="25" t="str">
        <f aca="false">IF($H156="","",INDEX(Register!$A$11:$A$510,MATCH($H156,Register!$J$11:$J$510,0))&amp;"")</f>
        <v/>
      </c>
      <c r="B156" s="25" t="str">
        <f aca="false">IF($H156="","",INDEX(Register!$B$11:$B$510,MATCH($H156,Register!$J$11:$J$510,0))&amp;"")</f>
        <v/>
      </c>
      <c r="C156" s="25" t="str">
        <f aca="false">IF($H156="","",INDEX(Register!$C$11:$C$510,MATCH($H156,Register!$J$11:$J$510,0))&amp;"")</f>
        <v/>
      </c>
      <c r="D156" s="26" t="str">
        <f aca="false">IF($H156="","",IF(ISNUMBER(INDEX(Register!$D$11:$D$510,MATCH($H156,Register!$J$11:$J$510,0))),INDEX(Register!$D$11:$D$510,MATCH($H156,Register!$J$11:$J$510,0)),INDEX(Register!$D$11:$D$510,MATCH($H156,Register!$J$11:$J$510,0))&amp;""))</f>
        <v/>
      </c>
      <c r="E156" s="25" t="str">
        <f aca="false">IF($H156="","",IF(ISNUMBER(INDEX(Register!$E$11:$E$510,MATCH($H156,Register!$J$11:$J$510,0))),INDEX(Register!$E$11:$E$510,MATCH($H156,Register!$J$11:$J$510,0))&amp;" mo",INDEX(Register!$E$11:$E$510,MATCH($H156,Register!$J$11:$J$510,0))&amp;""))</f>
        <v/>
      </c>
      <c r="F156" s="26" t="str">
        <f aca="false">IF($H156="","",INDEX(Register!$F$11:$F$510,MATCH($H156,Register!$J$11:$J$510,0)))</f>
        <v/>
      </c>
      <c r="G156" s="27" t="str">
        <f aca="false">IF($H156="","",IF(INDEX(Register!$G$11:$G$510,MATCH($H156,Register!$J$11:$J$510,0))="Check details","Check details: "&amp;INDEX(Register!$I$11:$I$510,MATCH($H156,Register!$J$11:$J$510,0)),INDEX(Register!$G$11:$G$510,MATCH($H156,Register!$J$11:$J$510,0))))</f>
        <v/>
      </c>
      <c r="H156" s="28" t="str">
        <f aca="false">IF(150&gt;COUNT(Register!$J$11:$J$510),"",SMALL(Register!$J$11:$J$510,150))</f>
        <v/>
      </c>
    </row>
    <row r="157" customFormat="false" ht="15" hidden="false" customHeight="false" outlineLevel="0" collapsed="false">
      <c r="A157" s="25" t="str">
        <f aca="false">IF($H157="","",INDEX(Register!$A$11:$A$510,MATCH($H157,Register!$J$11:$J$510,0))&amp;"")</f>
        <v/>
      </c>
      <c r="B157" s="25" t="str">
        <f aca="false">IF($H157="","",INDEX(Register!$B$11:$B$510,MATCH($H157,Register!$J$11:$J$510,0))&amp;"")</f>
        <v/>
      </c>
      <c r="C157" s="25" t="str">
        <f aca="false">IF($H157="","",INDEX(Register!$C$11:$C$510,MATCH($H157,Register!$J$11:$J$510,0))&amp;"")</f>
        <v/>
      </c>
      <c r="D157" s="26" t="str">
        <f aca="false">IF($H157="","",IF(ISNUMBER(INDEX(Register!$D$11:$D$510,MATCH($H157,Register!$J$11:$J$510,0))),INDEX(Register!$D$11:$D$510,MATCH($H157,Register!$J$11:$J$510,0)),INDEX(Register!$D$11:$D$510,MATCH($H157,Register!$J$11:$J$510,0))&amp;""))</f>
        <v/>
      </c>
      <c r="E157" s="25" t="str">
        <f aca="false">IF($H157="","",IF(ISNUMBER(INDEX(Register!$E$11:$E$510,MATCH($H157,Register!$J$11:$J$510,0))),INDEX(Register!$E$11:$E$510,MATCH($H157,Register!$J$11:$J$510,0))&amp;" mo",INDEX(Register!$E$11:$E$510,MATCH($H157,Register!$J$11:$J$510,0))&amp;""))</f>
        <v/>
      </c>
      <c r="F157" s="26" t="str">
        <f aca="false">IF($H157="","",INDEX(Register!$F$11:$F$510,MATCH($H157,Register!$J$11:$J$510,0)))</f>
        <v/>
      </c>
      <c r="G157" s="27" t="str">
        <f aca="false">IF($H157="","",IF(INDEX(Register!$G$11:$G$510,MATCH($H157,Register!$J$11:$J$510,0))="Check details","Check details: "&amp;INDEX(Register!$I$11:$I$510,MATCH($H157,Register!$J$11:$J$510,0)),INDEX(Register!$G$11:$G$510,MATCH($H157,Register!$J$11:$J$510,0))))</f>
        <v/>
      </c>
      <c r="H157" s="28" t="str">
        <f aca="false">IF(151&gt;COUNT(Register!$J$11:$J$510),"",SMALL(Register!$J$11:$J$510,151))</f>
        <v/>
      </c>
    </row>
    <row r="158" customFormat="false" ht="15" hidden="false" customHeight="false" outlineLevel="0" collapsed="false">
      <c r="A158" s="25" t="str">
        <f aca="false">IF($H158="","",INDEX(Register!$A$11:$A$510,MATCH($H158,Register!$J$11:$J$510,0))&amp;"")</f>
        <v/>
      </c>
      <c r="B158" s="25" t="str">
        <f aca="false">IF($H158="","",INDEX(Register!$B$11:$B$510,MATCH($H158,Register!$J$11:$J$510,0))&amp;"")</f>
        <v/>
      </c>
      <c r="C158" s="25" t="str">
        <f aca="false">IF($H158="","",INDEX(Register!$C$11:$C$510,MATCH($H158,Register!$J$11:$J$510,0))&amp;"")</f>
        <v/>
      </c>
      <c r="D158" s="26" t="str">
        <f aca="false">IF($H158="","",IF(ISNUMBER(INDEX(Register!$D$11:$D$510,MATCH($H158,Register!$J$11:$J$510,0))),INDEX(Register!$D$11:$D$510,MATCH($H158,Register!$J$11:$J$510,0)),INDEX(Register!$D$11:$D$510,MATCH($H158,Register!$J$11:$J$510,0))&amp;""))</f>
        <v/>
      </c>
      <c r="E158" s="25" t="str">
        <f aca="false">IF($H158="","",IF(ISNUMBER(INDEX(Register!$E$11:$E$510,MATCH($H158,Register!$J$11:$J$510,0))),INDEX(Register!$E$11:$E$510,MATCH($H158,Register!$J$11:$J$510,0))&amp;" mo",INDEX(Register!$E$11:$E$510,MATCH($H158,Register!$J$11:$J$510,0))&amp;""))</f>
        <v/>
      </c>
      <c r="F158" s="26" t="str">
        <f aca="false">IF($H158="","",INDEX(Register!$F$11:$F$510,MATCH($H158,Register!$J$11:$J$510,0)))</f>
        <v/>
      </c>
      <c r="G158" s="27" t="str">
        <f aca="false">IF($H158="","",IF(INDEX(Register!$G$11:$G$510,MATCH($H158,Register!$J$11:$J$510,0))="Check details","Check details: "&amp;INDEX(Register!$I$11:$I$510,MATCH($H158,Register!$J$11:$J$510,0)),INDEX(Register!$G$11:$G$510,MATCH($H158,Register!$J$11:$J$510,0))))</f>
        <v/>
      </c>
      <c r="H158" s="28" t="str">
        <f aca="false">IF(152&gt;COUNT(Register!$J$11:$J$510),"",SMALL(Register!$J$11:$J$510,152))</f>
        <v/>
      </c>
    </row>
    <row r="159" customFormat="false" ht="15" hidden="false" customHeight="false" outlineLevel="0" collapsed="false">
      <c r="A159" s="25" t="str">
        <f aca="false">IF($H159="","",INDEX(Register!$A$11:$A$510,MATCH($H159,Register!$J$11:$J$510,0))&amp;"")</f>
        <v/>
      </c>
      <c r="B159" s="25" t="str">
        <f aca="false">IF($H159="","",INDEX(Register!$B$11:$B$510,MATCH($H159,Register!$J$11:$J$510,0))&amp;"")</f>
        <v/>
      </c>
      <c r="C159" s="25" t="str">
        <f aca="false">IF($H159="","",INDEX(Register!$C$11:$C$510,MATCH($H159,Register!$J$11:$J$510,0))&amp;"")</f>
        <v/>
      </c>
      <c r="D159" s="26" t="str">
        <f aca="false">IF($H159="","",IF(ISNUMBER(INDEX(Register!$D$11:$D$510,MATCH($H159,Register!$J$11:$J$510,0))),INDEX(Register!$D$11:$D$510,MATCH($H159,Register!$J$11:$J$510,0)),INDEX(Register!$D$11:$D$510,MATCH($H159,Register!$J$11:$J$510,0))&amp;""))</f>
        <v/>
      </c>
      <c r="E159" s="25" t="str">
        <f aca="false">IF($H159="","",IF(ISNUMBER(INDEX(Register!$E$11:$E$510,MATCH($H159,Register!$J$11:$J$510,0))),INDEX(Register!$E$11:$E$510,MATCH($H159,Register!$J$11:$J$510,0))&amp;" mo",INDEX(Register!$E$11:$E$510,MATCH($H159,Register!$J$11:$J$510,0))&amp;""))</f>
        <v/>
      </c>
      <c r="F159" s="26" t="str">
        <f aca="false">IF($H159="","",INDEX(Register!$F$11:$F$510,MATCH($H159,Register!$J$11:$J$510,0)))</f>
        <v/>
      </c>
      <c r="G159" s="27" t="str">
        <f aca="false">IF($H159="","",IF(INDEX(Register!$G$11:$G$510,MATCH($H159,Register!$J$11:$J$510,0))="Check details","Check details: "&amp;INDEX(Register!$I$11:$I$510,MATCH($H159,Register!$J$11:$J$510,0)),INDEX(Register!$G$11:$G$510,MATCH($H159,Register!$J$11:$J$510,0))))</f>
        <v/>
      </c>
      <c r="H159" s="28" t="str">
        <f aca="false">IF(153&gt;COUNT(Register!$J$11:$J$510),"",SMALL(Register!$J$11:$J$510,153))</f>
        <v/>
      </c>
    </row>
    <row r="160" customFormat="false" ht="15" hidden="false" customHeight="false" outlineLevel="0" collapsed="false">
      <c r="A160" s="25" t="str">
        <f aca="false">IF($H160="","",INDEX(Register!$A$11:$A$510,MATCH($H160,Register!$J$11:$J$510,0))&amp;"")</f>
        <v/>
      </c>
      <c r="B160" s="25" t="str">
        <f aca="false">IF($H160="","",INDEX(Register!$B$11:$B$510,MATCH($H160,Register!$J$11:$J$510,0))&amp;"")</f>
        <v/>
      </c>
      <c r="C160" s="25" t="str">
        <f aca="false">IF($H160="","",INDEX(Register!$C$11:$C$510,MATCH($H160,Register!$J$11:$J$510,0))&amp;"")</f>
        <v/>
      </c>
      <c r="D160" s="26" t="str">
        <f aca="false">IF($H160="","",IF(ISNUMBER(INDEX(Register!$D$11:$D$510,MATCH($H160,Register!$J$11:$J$510,0))),INDEX(Register!$D$11:$D$510,MATCH($H160,Register!$J$11:$J$510,0)),INDEX(Register!$D$11:$D$510,MATCH($H160,Register!$J$11:$J$510,0))&amp;""))</f>
        <v/>
      </c>
      <c r="E160" s="25" t="str">
        <f aca="false">IF($H160="","",IF(ISNUMBER(INDEX(Register!$E$11:$E$510,MATCH($H160,Register!$J$11:$J$510,0))),INDEX(Register!$E$11:$E$510,MATCH($H160,Register!$J$11:$J$510,0))&amp;" mo",INDEX(Register!$E$11:$E$510,MATCH($H160,Register!$J$11:$J$510,0))&amp;""))</f>
        <v/>
      </c>
      <c r="F160" s="26" t="str">
        <f aca="false">IF($H160="","",INDEX(Register!$F$11:$F$510,MATCH($H160,Register!$J$11:$J$510,0)))</f>
        <v/>
      </c>
      <c r="G160" s="27" t="str">
        <f aca="false">IF($H160="","",IF(INDEX(Register!$G$11:$G$510,MATCH($H160,Register!$J$11:$J$510,0))="Check details","Check details: "&amp;INDEX(Register!$I$11:$I$510,MATCH($H160,Register!$J$11:$J$510,0)),INDEX(Register!$G$11:$G$510,MATCH($H160,Register!$J$11:$J$510,0))))</f>
        <v/>
      </c>
      <c r="H160" s="28" t="str">
        <f aca="false">IF(154&gt;COUNT(Register!$J$11:$J$510),"",SMALL(Register!$J$11:$J$510,154))</f>
        <v/>
      </c>
    </row>
    <row r="161" customFormat="false" ht="15" hidden="false" customHeight="false" outlineLevel="0" collapsed="false">
      <c r="A161" s="25" t="str">
        <f aca="false">IF($H161="","",INDEX(Register!$A$11:$A$510,MATCH($H161,Register!$J$11:$J$510,0))&amp;"")</f>
        <v/>
      </c>
      <c r="B161" s="25" t="str">
        <f aca="false">IF($H161="","",INDEX(Register!$B$11:$B$510,MATCH($H161,Register!$J$11:$J$510,0))&amp;"")</f>
        <v/>
      </c>
      <c r="C161" s="25" t="str">
        <f aca="false">IF($H161="","",INDEX(Register!$C$11:$C$510,MATCH($H161,Register!$J$11:$J$510,0))&amp;"")</f>
        <v/>
      </c>
      <c r="D161" s="26" t="str">
        <f aca="false">IF($H161="","",IF(ISNUMBER(INDEX(Register!$D$11:$D$510,MATCH($H161,Register!$J$11:$J$510,0))),INDEX(Register!$D$11:$D$510,MATCH($H161,Register!$J$11:$J$510,0)),INDEX(Register!$D$11:$D$510,MATCH($H161,Register!$J$11:$J$510,0))&amp;""))</f>
        <v/>
      </c>
      <c r="E161" s="25" t="str">
        <f aca="false">IF($H161="","",IF(ISNUMBER(INDEX(Register!$E$11:$E$510,MATCH($H161,Register!$J$11:$J$510,0))),INDEX(Register!$E$11:$E$510,MATCH($H161,Register!$J$11:$J$510,0))&amp;" mo",INDEX(Register!$E$11:$E$510,MATCH($H161,Register!$J$11:$J$510,0))&amp;""))</f>
        <v/>
      </c>
      <c r="F161" s="26" t="str">
        <f aca="false">IF($H161="","",INDEX(Register!$F$11:$F$510,MATCH($H161,Register!$J$11:$J$510,0)))</f>
        <v/>
      </c>
      <c r="G161" s="27" t="str">
        <f aca="false">IF($H161="","",IF(INDEX(Register!$G$11:$G$510,MATCH($H161,Register!$J$11:$J$510,0))="Check details","Check details: "&amp;INDEX(Register!$I$11:$I$510,MATCH($H161,Register!$J$11:$J$510,0)),INDEX(Register!$G$11:$G$510,MATCH($H161,Register!$J$11:$J$510,0))))</f>
        <v/>
      </c>
      <c r="H161" s="28" t="str">
        <f aca="false">IF(155&gt;COUNT(Register!$J$11:$J$510),"",SMALL(Register!$J$11:$J$510,155))</f>
        <v/>
      </c>
    </row>
    <row r="162" customFormat="false" ht="15" hidden="false" customHeight="false" outlineLevel="0" collapsed="false">
      <c r="A162" s="25" t="str">
        <f aca="false">IF($H162="","",INDEX(Register!$A$11:$A$510,MATCH($H162,Register!$J$11:$J$510,0))&amp;"")</f>
        <v/>
      </c>
      <c r="B162" s="25" t="str">
        <f aca="false">IF($H162="","",INDEX(Register!$B$11:$B$510,MATCH($H162,Register!$J$11:$J$510,0))&amp;"")</f>
        <v/>
      </c>
      <c r="C162" s="25" t="str">
        <f aca="false">IF($H162="","",INDEX(Register!$C$11:$C$510,MATCH($H162,Register!$J$11:$J$510,0))&amp;"")</f>
        <v/>
      </c>
      <c r="D162" s="26" t="str">
        <f aca="false">IF($H162="","",IF(ISNUMBER(INDEX(Register!$D$11:$D$510,MATCH($H162,Register!$J$11:$J$510,0))),INDEX(Register!$D$11:$D$510,MATCH($H162,Register!$J$11:$J$510,0)),INDEX(Register!$D$11:$D$510,MATCH($H162,Register!$J$11:$J$510,0))&amp;""))</f>
        <v/>
      </c>
      <c r="E162" s="25" t="str">
        <f aca="false">IF($H162="","",IF(ISNUMBER(INDEX(Register!$E$11:$E$510,MATCH($H162,Register!$J$11:$J$510,0))),INDEX(Register!$E$11:$E$510,MATCH($H162,Register!$J$11:$J$510,0))&amp;" mo",INDEX(Register!$E$11:$E$510,MATCH($H162,Register!$J$11:$J$510,0))&amp;""))</f>
        <v/>
      </c>
      <c r="F162" s="26" t="str">
        <f aca="false">IF($H162="","",INDEX(Register!$F$11:$F$510,MATCH($H162,Register!$J$11:$J$510,0)))</f>
        <v/>
      </c>
      <c r="G162" s="27" t="str">
        <f aca="false">IF($H162="","",IF(INDEX(Register!$G$11:$G$510,MATCH($H162,Register!$J$11:$J$510,0))="Check details","Check details: "&amp;INDEX(Register!$I$11:$I$510,MATCH($H162,Register!$J$11:$J$510,0)),INDEX(Register!$G$11:$G$510,MATCH($H162,Register!$J$11:$J$510,0))))</f>
        <v/>
      </c>
      <c r="H162" s="28" t="str">
        <f aca="false">IF(156&gt;COUNT(Register!$J$11:$J$510),"",SMALL(Register!$J$11:$J$510,156))</f>
        <v/>
      </c>
    </row>
    <row r="163" customFormat="false" ht="15" hidden="false" customHeight="false" outlineLevel="0" collapsed="false">
      <c r="A163" s="25" t="str">
        <f aca="false">IF($H163="","",INDEX(Register!$A$11:$A$510,MATCH($H163,Register!$J$11:$J$510,0))&amp;"")</f>
        <v/>
      </c>
      <c r="B163" s="25" t="str">
        <f aca="false">IF($H163="","",INDEX(Register!$B$11:$B$510,MATCH($H163,Register!$J$11:$J$510,0))&amp;"")</f>
        <v/>
      </c>
      <c r="C163" s="25" t="str">
        <f aca="false">IF($H163="","",INDEX(Register!$C$11:$C$510,MATCH($H163,Register!$J$11:$J$510,0))&amp;"")</f>
        <v/>
      </c>
      <c r="D163" s="26" t="str">
        <f aca="false">IF($H163="","",IF(ISNUMBER(INDEX(Register!$D$11:$D$510,MATCH($H163,Register!$J$11:$J$510,0))),INDEX(Register!$D$11:$D$510,MATCH($H163,Register!$J$11:$J$510,0)),INDEX(Register!$D$11:$D$510,MATCH($H163,Register!$J$11:$J$510,0))&amp;""))</f>
        <v/>
      </c>
      <c r="E163" s="25" t="str">
        <f aca="false">IF($H163="","",IF(ISNUMBER(INDEX(Register!$E$11:$E$510,MATCH($H163,Register!$J$11:$J$510,0))),INDEX(Register!$E$11:$E$510,MATCH($H163,Register!$J$11:$J$510,0))&amp;" mo",INDEX(Register!$E$11:$E$510,MATCH($H163,Register!$J$11:$J$510,0))&amp;""))</f>
        <v/>
      </c>
      <c r="F163" s="26" t="str">
        <f aca="false">IF($H163="","",INDEX(Register!$F$11:$F$510,MATCH($H163,Register!$J$11:$J$510,0)))</f>
        <v/>
      </c>
      <c r="G163" s="27" t="str">
        <f aca="false">IF($H163="","",IF(INDEX(Register!$G$11:$G$510,MATCH($H163,Register!$J$11:$J$510,0))="Check details","Check details: "&amp;INDEX(Register!$I$11:$I$510,MATCH($H163,Register!$J$11:$J$510,0)),INDEX(Register!$G$11:$G$510,MATCH($H163,Register!$J$11:$J$510,0))))</f>
        <v/>
      </c>
      <c r="H163" s="28" t="str">
        <f aca="false">IF(157&gt;COUNT(Register!$J$11:$J$510),"",SMALL(Register!$J$11:$J$510,157))</f>
        <v/>
      </c>
    </row>
    <row r="164" customFormat="false" ht="15" hidden="false" customHeight="false" outlineLevel="0" collapsed="false">
      <c r="A164" s="25" t="str">
        <f aca="false">IF($H164="","",INDEX(Register!$A$11:$A$510,MATCH($H164,Register!$J$11:$J$510,0))&amp;"")</f>
        <v/>
      </c>
      <c r="B164" s="25" t="str">
        <f aca="false">IF($H164="","",INDEX(Register!$B$11:$B$510,MATCH($H164,Register!$J$11:$J$510,0))&amp;"")</f>
        <v/>
      </c>
      <c r="C164" s="25" t="str">
        <f aca="false">IF($H164="","",INDEX(Register!$C$11:$C$510,MATCH($H164,Register!$J$11:$J$510,0))&amp;"")</f>
        <v/>
      </c>
      <c r="D164" s="26" t="str">
        <f aca="false">IF($H164="","",IF(ISNUMBER(INDEX(Register!$D$11:$D$510,MATCH($H164,Register!$J$11:$J$510,0))),INDEX(Register!$D$11:$D$510,MATCH($H164,Register!$J$11:$J$510,0)),INDEX(Register!$D$11:$D$510,MATCH($H164,Register!$J$11:$J$510,0))&amp;""))</f>
        <v/>
      </c>
      <c r="E164" s="25" t="str">
        <f aca="false">IF($H164="","",IF(ISNUMBER(INDEX(Register!$E$11:$E$510,MATCH($H164,Register!$J$11:$J$510,0))),INDEX(Register!$E$11:$E$510,MATCH($H164,Register!$J$11:$J$510,0))&amp;" mo",INDEX(Register!$E$11:$E$510,MATCH($H164,Register!$J$11:$J$510,0))&amp;""))</f>
        <v/>
      </c>
      <c r="F164" s="26" t="str">
        <f aca="false">IF($H164="","",INDEX(Register!$F$11:$F$510,MATCH($H164,Register!$J$11:$J$510,0)))</f>
        <v/>
      </c>
      <c r="G164" s="27" t="str">
        <f aca="false">IF($H164="","",IF(INDEX(Register!$G$11:$G$510,MATCH($H164,Register!$J$11:$J$510,0))="Check details","Check details: "&amp;INDEX(Register!$I$11:$I$510,MATCH($H164,Register!$J$11:$J$510,0)),INDEX(Register!$G$11:$G$510,MATCH($H164,Register!$J$11:$J$510,0))))</f>
        <v/>
      </c>
      <c r="H164" s="28" t="str">
        <f aca="false">IF(158&gt;COUNT(Register!$J$11:$J$510),"",SMALL(Register!$J$11:$J$510,158))</f>
        <v/>
      </c>
    </row>
    <row r="165" customFormat="false" ht="15" hidden="false" customHeight="false" outlineLevel="0" collapsed="false">
      <c r="A165" s="25" t="str">
        <f aca="false">IF($H165="","",INDEX(Register!$A$11:$A$510,MATCH($H165,Register!$J$11:$J$510,0))&amp;"")</f>
        <v/>
      </c>
      <c r="B165" s="25" t="str">
        <f aca="false">IF($H165="","",INDEX(Register!$B$11:$B$510,MATCH($H165,Register!$J$11:$J$510,0))&amp;"")</f>
        <v/>
      </c>
      <c r="C165" s="25" t="str">
        <f aca="false">IF($H165="","",INDEX(Register!$C$11:$C$510,MATCH($H165,Register!$J$11:$J$510,0))&amp;"")</f>
        <v/>
      </c>
      <c r="D165" s="26" t="str">
        <f aca="false">IF($H165="","",IF(ISNUMBER(INDEX(Register!$D$11:$D$510,MATCH($H165,Register!$J$11:$J$510,0))),INDEX(Register!$D$11:$D$510,MATCH($H165,Register!$J$11:$J$510,0)),INDEX(Register!$D$11:$D$510,MATCH($H165,Register!$J$11:$J$510,0))&amp;""))</f>
        <v/>
      </c>
      <c r="E165" s="25" t="str">
        <f aca="false">IF($H165="","",IF(ISNUMBER(INDEX(Register!$E$11:$E$510,MATCH($H165,Register!$J$11:$J$510,0))),INDEX(Register!$E$11:$E$510,MATCH($H165,Register!$J$11:$J$510,0))&amp;" mo",INDEX(Register!$E$11:$E$510,MATCH($H165,Register!$J$11:$J$510,0))&amp;""))</f>
        <v/>
      </c>
      <c r="F165" s="26" t="str">
        <f aca="false">IF($H165="","",INDEX(Register!$F$11:$F$510,MATCH($H165,Register!$J$11:$J$510,0)))</f>
        <v/>
      </c>
      <c r="G165" s="27" t="str">
        <f aca="false">IF($H165="","",IF(INDEX(Register!$G$11:$G$510,MATCH($H165,Register!$J$11:$J$510,0))="Check details","Check details: "&amp;INDEX(Register!$I$11:$I$510,MATCH($H165,Register!$J$11:$J$510,0)),INDEX(Register!$G$11:$G$510,MATCH($H165,Register!$J$11:$J$510,0))))</f>
        <v/>
      </c>
      <c r="H165" s="28" t="str">
        <f aca="false">IF(159&gt;COUNT(Register!$J$11:$J$510),"",SMALL(Register!$J$11:$J$510,159))</f>
        <v/>
      </c>
    </row>
    <row r="166" customFormat="false" ht="15" hidden="false" customHeight="false" outlineLevel="0" collapsed="false">
      <c r="A166" s="25" t="str">
        <f aca="false">IF($H166="","",INDEX(Register!$A$11:$A$510,MATCH($H166,Register!$J$11:$J$510,0))&amp;"")</f>
        <v/>
      </c>
      <c r="B166" s="25" t="str">
        <f aca="false">IF($H166="","",INDEX(Register!$B$11:$B$510,MATCH($H166,Register!$J$11:$J$510,0))&amp;"")</f>
        <v/>
      </c>
      <c r="C166" s="25" t="str">
        <f aca="false">IF($H166="","",INDEX(Register!$C$11:$C$510,MATCH($H166,Register!$J$11:$J$510,0))&amp;"")</f>
        <v/>
      </c>
      <c r="D166" s="26" t="str">
        <f aca="false">IF($H166="","",IF(ISNUMBER(INDEX(Register!$D$11:$D$510,MATCH($H166,Register!$J$11:$J$510,0))),INDEX(Register!$D$11:$D$510,MATCH($H166,Register!$J$11:$J$510,0)),INDEX(Register!$D$11:$D$510,MATCH($H166,Register!$J$11:$J$510,0))&amp;""))</f>
        <v/>
      </c>
      <c r="E166" s="25" t="str">
        <f aca="false">IF($H166="","",IF(ISNUMBER(INDEX(Register!$E$11:$E$510,MATCH($H166,Register!$J$11:$J$510,0))),INDEX(Register!$E$11:$E$510,MATCH($H166,Register!$J$11:$J$510,0))&amp;" mo",INDEX(Register!$E$11:$E$510,MATCH($H166,Register!$J$11:$J$510,0))&amp;""))</f>
        <v/>
      </c>
      <c r="F166" s="26" t="str">
        <f aca="false">IF($H166="","",INDEX(Register!$F$11:$F$510,MATCH($H166,Register!$J$11:$J$510,0)))</f>
        <v/>
      </c>
      <c r="G166" s="27" t="str">
        <f aca="false">IF($H166="","",IF(INDEX(Register!$G$11:$G$510,MATCH($H166,Register!$J$11:$J$510,0))="Check details","Check details: "&amp;INDEX(Register!$I$11:$I$510,MATCH($H166,Register!$J$11:$J$510,0)),INDEX(Register!$G$11:$G$510,MATCH($H166,Register!$J$11:$J$510,0))))</f>
        <v/>
      </c>
      <c r="H166" s="28" t="str">
        <f aca="false">IF(160&gt;COUNT(Register!$J$11:$J$510),"",SMALL(Register!$J$11:$J$510,160))</f>
        <v/>
      </c>
    </row>
    <row r="167" customFormat="false" ht="15" hidden="false" customHeight="false" outlineLevel="0" collapsed="false">
      <c r="A167" s="25" t="str">
        <f aca="false">IF($H167="","",INDEX(Register!$A$11:$A$510,MATCH($H167,Register!$J$11:$J$510,0))&amp;"")</f>
        <v/>
      </c>
      <c r="B167" s="25" t="str">
        <f aca="false">IF($H167="","",INDEX(Register!$B$11:$B$510,MATCH($H167,Register!$J$11:$J$510,0))&amp;"")</f>
        <v/>
      </c>
      <c r="C167" s="25" t="str">
        <f aca="false">IF($H167="","",INDEX(Register!$C$11:$C$510,MATCH($H167,Register!$J$11:$J$510,0))&amp;"")</f>
        <v/>
      </c>
      <c r="D167" s="26" t="str">
        <f aca="false">IF($H167="","",IF(ISNUMBER(INDEX(Register!$D$11:$D$510,MATCH($H167,Register!$J$11:$J$510,0))),INDEX(Register!$D$11:$D$510,MATCH($H167,Register!$J$11:$J$510,0)),INDEX(Register!$D$11:$D$510,MATCH($H167,Register!$J$11:$J$510,0))&amp;""))</f>
        <v/>
      </c>
      <c r="E167" s="25" t="str">
        <f aca="false">IF($H167="","",IF(ISNUMBER(INDEX(Register!$E$11:$E$510,MATCH($H167,Register!$J$11:$J$510,0))),INDEX(Register!$E$11:$E$510,MATCH($H167,Register!$J$11:$J$510,0))&amp;" mo",INDEX(Register!$E$11:$E$510,MATCH($H167,Register!$J$11:$J$510,0))&amp;""))</f>
        <v/>
      </c>
      <c r="F167" s="26" t="str">
        <f aca="false">IF($H167="","",INDEX(Register!$F$11:$F$510,MATCH($H167,Register!$J$11:$J$510,0)))</f>
        <v/>
      </c>
      <c r="G167" s="27" t="str">
        <f aca="false">IF($H167="","",IF(INDEX(Register!$G$11:$G$510,MATCH($H167,Register!$J$11:$J$510,0))="Check details","Check details: "&amp;INDEX(Register!$I$11:$I$510,MATCH($H167,Register!$J$11:$J$510,0)),INDEX(Register!$G$11:$G$510,MATCH($H167,Register!$J$11:$J$510,0))))</f>
        <v/>
      </c>
      <c r="H167" s="28" t="str">
        <f aca="false">IF(161&gt;COUNT(Register!$J$11:$J$510),"",SMALL(Register!$J$11:$J$510,161))</f>
        <v/>
      </c>
    </row>
    <row r="168" customFormat="false" ht="15" hidden="false" customHeight="false" outlineLevel="0" collapsed="false">
      <c r="A168" s="25" t="str">
        <f aca="false">IF($H168="","",INDEX(Register!$A$11:$A$510,MATCH($H168,Register!$J$11:$J$510,0))&amp;"")</f>
        <v/>
      </c>
      <c r="B168" s="25" t="str">
        <f aca="false">IF($H168="","",INDEX(Register!$B$11:$B$510,MATCH($H168,Register!$J$11:$J$510,0))&amp;"")</f>
        <v/>
      </c>
      <c r="C168" s="25" t="str">
        <f aca="false">IF($H168="","",INDEX(Register!$C$11:$C$510,MATCH($H168,Register!$J$11:$J$510,0))&amp;"")</f>
        <v/>
      </c>
      <c r="D168" s="26" t="str">
        <f aca="false">IF($H168="","",IF(ISNUMBER(INDEX(Register!$D$11:$D$510,MATCH($H168,Register!$J$11:$J$510,0))),INDEX(Register!$D$11:$D$510,MATCH($H168,Register!$J$11:$J$510,0)),INDEX(Register!$D$11:$D$510,MATCH($H168,Register!$J$11:$J$510,0))&amp;""))</f>
        <v/>
      </c>
      <c r="E168" s="25" t="str">
        <f aca="false">IF($H168="","",IF(ISNUMBER(INDEX(Register!$E$11:$E$510,MATCH($H168,Register!$J$11:$J$510,0))),INDEX(Register!$E$11:$E$510,MATCH($H168,Register!$J$11:$J$510,0))&amp;" mo",INDEX(Register!$E$11:$E$510,MATCH($H168,Register!$J$11:$J$510,0))&amp;""))</f>
        <v/>
      </c>
      <c r="F168" s="26" t="str">
        <f aca="false">IF($H168="","",INDEX(Register!$F$11:$F$510,MATCH($H168,Register!$J$11:$J$510,0)))</f>
        <v/>
      </c>
      <c r="G168" s="27" t="str">
        <f aca="false">IF($H168="","",IF(INDEX(Register!$G$11:$G$510,MATCH($H168,Register!$J$11:$J$510,0))="Check details","Check details: "&amp;INDEX(Register!$I$11:$I$510,MATCH($H168,Register!$J$11:$J$510,0)),INDEX(Register!$G$11:$G$510,MATCH($H168,Register!$J$11:$J$510,0))))</f>
        <v/>
      </c>
      <c r="H168" s="28" t="str">
        <f aca="false">IF(162&gt;COUNT(Register!$J$11:$J$510),"",SMALL(Register!$J$11:$J$510,162))</f>
        <v/>
      </c>
    </row>
    <row r="169" customFormat="false" ht="15" hidden="false" customHeight="false" outlineLevel="0" collapsed="false">
      <c r="A169" s="25" t="str">
        <f aca="false">IF($H169="","",INDEX(Register!$A$11:$A$510,MATCH($H169,Register!$J$11:$J$510,0))&amp;"")</f>
        <v/>
      </c>
      <c r="B169" s="25" t="str">
        <f aca="false">IF($H169="","",INDEX(Register!$B$11:$B$510,MATCH($H169,Register!$J$11:$J$510,0))&amp;"")</f>
        <v/>
      </c>
      <c r="C169" s="25" t="str">
        <f aca="false">IF($H169="","",INDEX(Register!$C$11:$C$510,MATCH($H169,Register!$J$11:$J$510,0))&amp;"")</f>
        <v/>
      </c>
      <c r="D169" s="26" t="str">
        <f aca="false">IF($H169="","",IF(ISNUMBER(INDEX(Register!$D$11:$D$510,MATCH($H169,Register!$J$11:$J$510,0))),INDEX(Register!$D$11:$D$510,MATCH($H169,Register!$J$11:$J$510,0)),INDEX(Register!$D$11:$D$510,MATCH($H169,Register!$J$11:$J$510,0))&amp;""))</f>
        <v/>
      </c>
      <c r="E169" s="25" t="str">
        <f aca="false">IF($H169="","",IF(ISNUMBER(INDEX(Register!$E$11:$E$510,MATCH($H169,Register!$J$11:$J$510,0))),INDEX(Register!$E$11:$E$510,MATCH($H169,Register!$J$11:$J$510,0))&amp;" mo",INDEX(Register!$E$11:$E$510,MATCH($H169,Register!$J$11:$J$510,0))&amp;""))</f>
        <v/>
      </c>
      <c r="F169" s="26" t="str">
        <f aca="false">IF($H169="","",INDEX(Register!$F$11:$F$510,MATCH($H169,Register!$J$11:$J$510,0)))</f>
        <v/>
      </c>
      <c r="G169" s="27" t="str">
        <f aca="false">IF($H169="","",IF(INDEX(Register!$G$11:$G$510,MATCH($H169,Register!$J$11:$J$510,0))="Check details","Check details: "&amp;INDEX(Register!$I$11:$I$510,MATCH($H169,Register!$J$11:$J$510,0)),INDEX(Register!$G$11:$G$510,MATCH($H169,Register!$J$11:$J$510,0))))</f>
        <v/>
      </c>
      <c r="H169" s="28" t="str">
        <f aca="false">IF(163&gt;COUNT(Register!$J$11:$J$510),"",SMALL(Register!$J$11:$J$510,163))</f>
        <v/>
      </c>
    </row>
    <row r="170" customFormat="false" ht="15" hidden="false" customHeight="false" outlineLevel="0" collapsed="false">
      <c r="A170" s="25" t="str">
        <f aca="false">IF($H170="","",INDEX(Register!$A$11:$A$510,MATCH($H170,Register!$J$11:$J$510,0))&amp;"")</f>
        <v/>
      </c>
      <c r="B170" s="25" t="str">
        <f aca="false">IF($H170="","",INDEX(Register!$B$11:$B$510,MATCH($H170,Register!$J$11:$J$510,0))&amp;"")</f>
        <v/>
      </c>
      <c r="C170" s="25" t="str">
        <f aca="false">IF($H170="","",INDEX(Register!$C$11:$C$510,MATCH($H170,Register!$J$11:$J$510,0))&amp;"")</f>
        <v/>
      </c>
      <c r="D170" s="26" t="str">
        <f aca="false">IF($H170="","",IF(ISNUMBER(INDEX(Register!$D$11:$D$510,MATCH($H170,Register!$J$11:$J$510,0))),INDEX(Register!$D$11:$D$510,MATCH($H170,Register!$J$11:$J$510,0)),INDEX(Register!$D$11:$D$510,MATCH($H170,Register!$J$11:$J$510,0))&amp;""))</f>
        <v/>
      </c>
      <c r="E170" s="25" t="str">
        <f aca="false">IF($H170="","",IF(ISNUMBER(INDEX(Register!$E$11:$E$510,MATCH($H170,Register!$J$11:$J$510,0))),INDEX(Register!$E$11:$E$510,MATCH($H170,Register!$J$11:$J$510,0))&amp;" mo",INDEX(Register!$E$11:$E$510,MATCH($H170,Register!$J$11:$J$510,0))&amp;""))</f>
        <v/>
      </c>
      <c r="F170" s="26" t="str">
        <f aca="false">IF($H170="","",INDEX(Register!$F$11:$F$510,MATCH($H170,Register!$J$11:$J$510,0)))</f>
        <v/>
      </c>
      <c r="G170" s="27" t="str">
        <f aca="false">IF($H170="","",IF(INDEX(Register!$G$11:$G$510,MATCH($H170,Register!$J$11:$J$510,0))="Check details","Check details: "&amp;INDEX(Register!$I$11:$I$510,MATCH($H170,Register!$J$11:$J$510,0)),INDEX(Register!$G$11:$G$510,MATCH($H170,Register!$J$11:$J$510,0))))</f>
        <v/>
      </c>
      <c r="H170" s="28" t="str">
        <f aca="false">IF(164&gt;COUNT(Register!$J$11:$J$510),"",SMALL(Register!$J$11:$J$510,164))</f>
        <v/>
      </c>
    </row>
    <row r="171" customFormat="false" ht="15" hidden="false" customHeight="false" outlineLevel="0" collapsed="false">
      <c r="A171" s="25" t="str">
        <f aca="false">IF($H171="","",INDEX(Register!$A$11:$A$510,MATCH($H171,Register!$J$11:$J$510,0))&amp;"")</f>
        <v/>
      </c>
      <c r="B171" s="25" t="str">
        <f aca="false">IF($H171="","",INDEX(Register!$B$11:$B$510,MATCH($H171,Register!$J$11:$J$510,0))&amp;"")</f>
        <v/>
      </c>
      <c r="C171" s="25" t="str">
        <f aca="false">IF($H171="","",INDEX(Register!$C$11:$C$510,MATCH($H171,Register!$J$11:$J$510,0))&amp;"")</f>
        <v/>
      </c>
      <c r="D171" s="26" t="str">
        <f aca="false">IF($H171="","",IF(ISNUMBER(INDEX(Register!$D$11:$D$510,MATCH($H171,Register!$J$11:$J$510,0))),INDEX(Register!$D$11:$D$510,MATCH($H171,Register!$J$11:$J$510,0)),INDEX(Register!$D$11:$D$510,MATCH($H171,Register!$J$11:$J$510,0))&amp;""))</f>
        <v/>
      </c>
      <c r="E171" s="25" t="str">
        <f aca="false">IF($H171="","",IF(ISNUMBER(INDEX(Register!$E$11:$E$510,MATCH($H171,Register!$J$11:$J$510,0))),INDEX(Register!$E$11:$E$510,MATCH($H171,Register!$J$11:$J$510,0))&amp;" mo",INDEX(Register!$E$11:$E$510,MATCH($H171,Register!$J$11:$J$510,0))&amp;""))</f>
        <v/>
      </c>
      <c r="F171" s="26" t="str">
        <f aca="false">IF($H171="","",INDEX(Register!$F$11:$F$510,MATCH($H171,Register!$J$11:$J$510,0)))</f>
        <v/>
      </c>
      <c r="G171" s="27" t="str">
        <f aca="false">IF($H171="","",IF(INDEX(Register!$G$11:$G$510,MATCH($H171,Register!$J$11:$J$510,0))="Check details","Check details: "&amp;INDEX(Register!$I$11:$I$510,MATCH($H171,Register!$J$11:$J$510,0)),INDEX(Register!$G$11:$G$510,MATCH($H171,Register!$J$11:$J$510,0))))</f>
        <v/>
      </c>
      <c r="H171" s="28" t="str">
        <f aca="false">IF(165&gt;COUNT(Register!$J$11:$J$510),"",SMALL(Register!$J$11:$J$510,165))</f>
        <v/>
      </c>
    </row>
    <row r="172" customFormat="false" ht="15" hidden="false" customHeight="false" outlineLevel="0" collapsed="false">
      <c r="A172" s="25" t="str">
        <f aca="false">IF($H172="","",INDEX(Register!$A$11:$A$510,MATCH($H172,Register!$J$11:$J$510,0))&amp;"")</f>
        <v/>
      </c>
      <c r="B172" s="25" t="str">
        <f aca="false">IF($H172="","",INDEX(Register!$B$11:$B$510,MATCH($H172,Register!$J$11:$J$510,0))&amp;"")</f>
        <v/>
      </c>
      <c r="C172" s="25" t="str">
        <f aca="false">IF($H172="","",INDEX(Register!$C$11:$C$510,MATCH($H172,Register!$J$11:$J$510,0))&amp;"")</f>
        <v/>
      </c>
      <c r="D172" s="26" t="str">
        <f aca="false">IF($H172="","",IF(ISNUMBER(INDEX(Register!$D$11:$D$510,MATCH($H172,Register!$J$11:$J$510,0))),INDEX(Register!$D$11:$D$510,MATCH($H172,Register!$J$11:$J$510,0)),INDEX(Register!$D$11:$D$510,MATCH($H172,Register!$J$11:$J$510,0))&amp;""))</f>
        <v/>
      </c>
      <c r="E172" s="25" t="str">
        <f aca="false">IF($H172="","",IF(ISNUMBER(INDEX(Register!$E$11:$E$510,MATCH($H172,Register!$J$11:$J$510,0))),INDEX(Register!$E$11:$E$510,MATCH($H172,Register!$J$11:$J$510,0))&amp;" mo",INDEX(Register!$E$11:$E$510,MATCH($H172,Register!$J$11:$J$510,0))&amp;""))</f>
        <v/>
      </c>
      <c r="F172" s="26" t="str">
        <f aca="false">IF($H172="","",INDEX(Register!$F$11:$F$510,MATCH($H172,Register!$J$11:$J$510,0)))</f>
        <v/>
      </c>
      <c r="G172" s="27" t="str">
        <f aca="false">IF($H172="","",IF(INDEX(Register!$G$11:$G$510,MATCH($H172,Register!$J$11:$J$510,0))="Check details","Check details: "&amp;INDEX(Register!$I$11:$I$510,MATCH($H172,Register!$J$11:$J$510,0)),INDEX(Register!$G$11:$G$510,MATCH($H172,Register!$J$11:$J$510,0))))</f>
        <v/>
      </c>
      <c r="H172" s="28" t="str">
        <f aca="false">IF(166&gt;COUNT(Register!$J$11:$J$510),"",SMALL(Register!$J$11:$J$510,166))</f>
        <v/>
      </c>
    </row>
    <row r="173" customFormat="false" ht="15" hidden="false" customHeight="false" outlineLevel="0" collapsed="false">
      <c r="A173" s="25" t="str">
        <f aca="false">IF($H173="","",INDEX(Register!$A$11:$A$510,MATCH($H173,Register!$J$11:$J$510,0))&amp;"")</f>
        <v/>
      </c>
      <c r="B173" s="25" t="str">
        <f aca="false">IF($H173="","",INDEX(Register!$B$11:$B$510,MATCH($H173,Register!$J$11:$J$510,0))&amp;"")</f>
        <v/>
      </c>
      <c r="C173" s="25" t="str">
        <f aca="false">IF($H173="","",INDEX(Register!$C$11:$C$510,MATCH($H173,Register!$J$11:$J$510,0))&amp;"")</f>
        <v/>
      </c>
      <c r="D173" s="26" t="str">
        <f aca="false">IF($H173="","",IF(ISNUMBER(INDEX(Register!$D$11:$D$510,MATCH($H173,Register!$J$11:$J$510,0))),INDEX(Register!$D$11:$D$510,MATCH($H173,Register!$J$11:$J$510,0)),INDEX(Register!$D$11:$D$510,MATCH($H173,Register!$J$11:$J$510,0))&amp;""))</f>
        <v/>
      </c>
      <c r="E173" s="25" t="str">
        <f aca="false">IF($H173="","",IF(ISNUMBER(INDEX(Register!$E$11:$E$510,MATCH($H173,Register!$J$11:$J$510,0))),INDEX(Register!$E$11:$E$510,MATCH($H173,Register!$J$11:$J$510,0))&amp;" mo",INDEX(Register!$E$11:$E$510,MATCH($H173,Register!$J$11:$J$510,0))&amp;""))</f>
        <v/>
      </c>
      <c r="F173" s="26" t="str">
        <f aca="false">IF($H173="","",INDEX(Register!$F$11:$F$510,MATCH($H173,Register!$J$11:$J$510,0)))</f>
        <v/>
      </c>
      <c r="G173" s="27" t="str">
        <f aca="false">IF($H173="","",IF(INDEX(Register!$G$11:$G$510,MATCH($H173,Register!$J$11:$J$510,0))="Check details","Check details: "&amp;INDEX(Register!$I$11:$I$510,MATCH($H173,Register!$J$11:$J$510,0)),INDEX(Register!$G$11:$G$510,MATCH($H173,Register!$J$11:$J$510,0))))</f>
        <v/>
      </c>
      <c r="H173" s="28" t="str">
        <f aca="false">IF(167&gt;COUNT(Register!$J$11:$J$510),"",SMALL(Register!$J$11:$J$510,167))</f>
        <v/>
      </c>
    </row>
    <row r="174" customFormat="false" ht="15" hidden="false" customHeight="false" outlineLevel="0" collapsed="false">
      <c r="A174" s="25" t="str">
        <f aca="false">IF($H174="","",INDEX(Register!$A$11:$A$510,MATCH($H174,Register!$J$11:$J$510,0))&amp;"")</f>
        <v/>
      </c>
      <c r="B174" s="25" t="str">
        <f aca="false">IF($H174="","",INDEX(Register!$B$11:$B$510,MATCH($H174,Register!$J$11:$J$510,0))&amp;"")</f>
        <v/>
      </c>
      <c r="C174" s="25" t="str">
        <f aca="false">IF($H174="","",INDEX(Register!$C$11:$C$510,MATCH($H174,Register!$J$11:$J$510,0))&amp;"")</f>
        <v/>
      </c>
      <c r="D174" s="26" t="str">
        <f aca="false">IF($H174="","",IF(ISNUMBER(INDEX(Register!$D$11:$D$510,MATCH($H174,Register!$J$11:$J$510,0))),INDEX(Register!$D$11:$D$510,MATCH($H174,Register!$J$11:$J$510,0)),INDEX(Register!$D$11:$D$510,MATCH($H174,Register!$J$11:$J$510,0))&amp;""))</f>
        <v/>
      </c>
      <c r="E174" s="25" t="str">
        <f aca="false">IF($H174="","",IF(ISNUMBER(INDEX(Register!$E$11:$E$510,MATCH($H174,Register!$J$11:$J$510,0))),INDEX(Register!$E$11:$E$510,MATCH($H174,Register!$J$11:$J$510,0))&amp;" mo",INDEX(Register!$E$11:$E$510,MATCH($H174,Register!$J$11:$J$510,0))&amp;""))</f>
        <v/>
      </c>
      <c r="F174" s="26" t="str">
        <f aca="false">IF($H174="","",INDEX(Register!$F$11:$F$510,MATCH($H174,Register!$J$11:$J$510,0)))</f>
        <v/>
      </c>
      <c r="G174" s="27" t="str">
        <f aca="false">IF($H174="","",IF(INDEX(Register!$G$11:$G$510,MATCH($H174,Register!$J$11:$J$510,0))="Check details","Check details: "&amp;INDEX(Register!$I$11:$I$510,MATCH($H174,Register!$J$11:$J$510,0)),INDEX(Register!$G$11:$G$510,MATCH($H174,Register!$J$11:$J$510,0))))</f>
        <v/>
      </c>
      <c r="H174" s="28" t="str">
        <f aca="false">IF(168&gt;COUNT(Register!$J$11:$J$510),"",SMALL(Register!$J$11:$J$510,168))</f>
        <v/>
      </c>
    </row>
    <row r="175" customFormat="false" ht="15" hidden="false" customHeight="false" outlineLevel="0" collapsed="false">
      <c r="A175" s="25" t="str">
        <f aca="false">IF($H175="","",INDEX(Register!$A$11:$A$510,MATCH($H175,Register!$J$11:$J$510,0))&amp;"")</f>
        <v/>
      </c>
      <c r="B175" s="25" t="str">
        <f aca="false">IF($H175="","",INDEX(Register!$B$11:$B$510,MATCH($H175,Register!$J$11:$J$510,0))&amp;"")</f>
        <v/>
      </c>
      <c r="C175" s="25" t="str">
        <f aca="false">IF($H175="","",INDEX(Register!$C$11:$C$510,MATCH($H175,Register!$J$11:$J$510,0))&amp;"")</f>
        <v/>
      </c>
      <c r="D175" s="26" t="str">
        <f aca="false">IF($H175="","",IF(ISNUMBER(INDEX(Register!$D$11:$D$510,MATCH($H175,Register!$J$11:$J$510,0))),INDEX(Register!$D$11:$D$510,MATCH($H175,Register!$J$11:$J$510,0)),INDEX(Register!$D$11:$D$510,MATCH($H175,Register!$J$11:$J$510,0))&amp;""))</f>
        <v/>
      </c>
      <c r="E175" s="25" t="str">
        <f aca="false">IF($H175="","",IF(ISNUMBER(INDEX(Register!$E$11:$E$510,MATCH($H175,Register!$J$11:$J$510,0))),INDEX(Register!$E$11:$E$510,MATCH($H175,Register!$J$11:$J$510,0))&amp;" mo",INDEX(Register!$E$11:$E$510,MATCH($H175,Register!$J$11:$J$510,0))&amp;""))</f>
        <v/>
      </c>
      <c r="F175" s="26" t="str">
        <f aca="false">IF($H175="","",INDEX(Register!$F$11:$F$510,MATCH($H175,Register!$J$11:$J$510,0)))</f>
        <v/>
      </c>
      <c r="G175" s="27" t="str">
        <f aca="false">IF($H175="","",IF(INDEX(Register!$G$11:$G$510,MATCH($H175,Register!$J$11:$J$510,0))="Check details","Check details: "&amp;INDEX(Register!$I$11:$I$510,MATCH($H175,Register!$J$11:$J$510,0)),INDEX(Register!$G$11:$G$510,MATCH($H175,Register!$J$11:$J$510,0))))</f>
        <v/>
      </c>
      <c r="H175" s="28" t="str">
        <f aca="false">IF(169&gt;COUNT(Register!$J$11:$J$510),"",SMALL(Register!$J$11:$J$510,169))</f>
        <v/>
      </c>
    </row>
    <row r="176" customFormat="false" ht="15" hidden="false" customHeight="false" outlineLevel="0" collapsed="false">
      <c r="A176" s="25" t="str">
        <f aca="false">IF($H176="","",INDEX(Register!$A$11:$A$510,MATCH($H176,Register!$J$11:$J$510,0))&amp;"")</f>
        <v/>
      </c>
      <c r="B176" s="25" t="str">
        <f aca="false">IF($H176="","",INDEX(Register!$B$11:$B$510,MATCH($H176,Register!$J$11:$J$510,0))&amp;"")</f>
        <v/>
      </c>
      <c r="C176" s="25" t="str">
        <f aca="false">IF($H176="","",INDEX(Register!$C$11:$C$510,MATCH($H176,Register!$J$11:$J$510,0))&amp;"")</f>
        <v/>
      </c>
      <c r="D176" s="26" t="str">
        <f aca="false">IF($H176="","",IF(ISNUMBER(INDEX(Register!$D$11:$D$510,MATCH($H176,Register!$J$11:$J$510,0))),INDEX(Register!$D$11:$D$510,MATCH($H176,Register!$J$11:$J$510,0)),INDEX(Register!$D$11:$D$510,MATCH($H176,Register!$J$11:$J$510,0))&amp;""))</f>
        <v/>
      </c>
      <c r="E176" s="25" t="str">
        <f aca="false">IF($H176="","",IF(ISNUMBER(INDEX(Register!$E$11:$E$510,MATCH($H176,Register!$J$11:$J$510,0))),INDEX(Register!$E$11:$E$510,MATCH($H176,Register!$J$11:$J$510,0))&amp;" mo",INDEX(Register!$E$11:$E$510,MATCH($H176,Register!$J$11:$J$510,0))&amp;""))</f>
        <v/>
      </c>
      <c r="F176" s="26" t="str">
        <f aca="false">IF($H176="","",INDEX(Register!$F$11:$F$510,MATCH($H176,Register!$J$11:$J$510,0)))</f>
        <v/>
      </c>
      <c r="G176" s="27" t="str">
        <f aca="false">IF($H176="","",IF(INDEX(Register!$G$11:$G$510,MATCH($H176,Register!$J$11:$J$510,0))="Check details","Check details: "&amp;INDEX(Register!$I$11:$I$510,MATCH($H176,Register!$J$11:$J$510,0)),INDEX(Register!$G$11:$G$510,MATCH($H176,Register!$J$11:$J$510,0))))</f>
        <v/>
      </c>
      <c r="H176" s="28" t="str">
        <f aca="false">IF(170&gt;COUNT(Register!$J$11:$J$510),"",SMALL(Register!$J$11:$J$510,170))</f>
        <v/>
      </c>
    </row>
    <row r="177" customFormat="false" ht="15" hidden="false" customHeight="false" outlineLevel="0" collapsed="false">
      <c r="A177" s="25" t="str">
        <f aca="false">IF($H177="","",INDEX(Register!$A$11:$A$510,MATCH($H177,Register!$J$11:$J$510,0))&amp;"")</f>
        <v/>
      </c>
      <c r="B177" s="25" t="str">
        <f aca="false">IF($H177="","",INDEX(Register!$B$11:$B$510,MATCH($H177,Register!$J$11:$J$510,0))&amp;"")</f>
        <v/>
      </c>
      <c r="C177" s="25" t="str">
        <f aca="false">IF($H177="","",INDEX(Register!$C$11:$C$510,MATCH($H177,Register!$J$11:$J$510,0))&amp;"")</f>
        <v/>
      </c>
      <c r="D177" s="26" t="str">
        <f aca="false">IF($H177="","",IF(ISNUMBER(INDEX(Register!$D$11:$D$510,MATCH($H177,Register!$J$11:$J$510,0))),INDEX(Register!$D$11:$D$510,MATCH($H177,Register!$J$11:$J$510,0)),INDEX(Register!$D$11:$D$510,MATCH($H177,Register!$J$11:$J$510,0))&amp;""))</f>
        <v/>
      </c>
      <c r="E177" s="25" t="str">
        <f aca="false">IF($H177="","",IF(ISNUMBER(INDEX(Register!$E$11:$E$510,MATCH($H177,Register!$J$11:$J$510,0))),INDEX(Register!$E$11:$E$510,MATCH($H177,Register!$J$11:$J$510,0))&amp;" mo",INDEX(Register!$E$11:$E$510,MATCH($H177,Register!$J$11:$J$510,0))&amp;""))</f>
        <v/>
      </c>
      <c r="F177" s="26" t="str">
        <f aca="false">IF($H177="","",INDEX(Register!$F$11:$F$510,MATCH($H177,Register!$J$11:$J$510,0)))</f>
        <v/>
      </c>
      <c r="G177" s="27" t="str">
        <f aca="false">IF($H177="","",IF(INDEX(Register!$G$11:$G$510,MATCH($H177,Register!$J$11:$J$510,0))="Check details","Check details: "&amp;INDEX(Register!$I$11:$I$510,MATCH($H177,Register!$J$11:$J$510,0)),INDEX(Register!$G$11:$G$510,MATCH($H177,Register!$J$11:$J$510,0))))</f>
        <v/>
      </c>
      <c r="H177" s="28" t="str">
        <f aca="false">IF(171&gt;COUNT(Register!$J$11:$J$510),"",SMALL(Register!$J$11:$J$510,171))</f>
        <v/>
      </c>
    </row>
    <row r="178" customFormat="false" ht="15" hidden="false" customHeight="false" outlineLevel="0" collapsed="false">
      <c r="A178" s="25" t="str">
        <f aca="false">IF($H178="","",INDEX(Register!$A$11:$A$510,MATCH($H178,Register!$J$11:$J$510,0))&amp;"")</f>
        <v/>
      </c>
      <c r="B178" s="25" t="str">
        <f aca="false">IF($H178="","",INDEX(Register!$B$11:$B$510,MATCH($H178,Register!$J$11:$J$510,0))&amp;"")</f>
        <v/>
      </c>
      <c r="C178" s="25" t="str">
        <f aca="false">IF($H178="","",INDEX(Register!$C$11:$C$510,MATCH($H178,Register!$J$11:$J$510,0))&amp;"")</f>
        <v/>
      </c>
      <c r="D178" s="26" t="str">
        <f aca="false">IF($H178="","",IF(ISNUMBER(INDEX(Register!$D$11:$D$510,MATCH($H178,Register!$J$11:$J$510,0))),INDEX(Register!$D$11:$D$510,MATCH($H178,Register!$J$11:$J$510,0)),INDEX(Register!$D$11:$D$510,MATCH($H178,Register!$J$11:$J$510,0))&amp;""))</f>
        <v/>
      </c>
      <c r="E178" s="25" t="str">
        <f aca="false">IF($H178="","",IF(ISNUMBER(INDEX(Register!$E$11:$E$510,MATCH($H178,Register!$J$11:$J$510,0))),INDEX(Register!$E$11:$E$510,MATCH($H178,Register!$J$11:$J$510,0))&amp;" mo",INDEX(Register!$E$11:$E$510,MATCH($H178,Register!$J$11:$J$510,0))&amp;""))</f>
        <v/>
      </c>
      <c r="F178" s="26" t="str">
        <f aca="false">IF($H178="","",INDEX(Register!$F$11:$F$510,MATCH($H178,Register!$J$11:$J$510,0)))</f>
        <v/>
      </c>
      <c r="G178" s="27" t="str">
        <f aca="false">IF($H178="","",IF(INDEX(Register!$G$11:$G$510,MATCH($H178,Register!$J$11:$J$510,0))="Check details","Check details: "&amp;INDEX(Register!$I$11:$I$510,MATCH($H178,Register!$J$11:$J$510,0)),INDEX(Register!$G$11:$G$510,MATCH($H178,Register!$J$11:$J$510,0))))</f>
        <v/>
      </c>
      <c r="H178" s="28" t="str">
        <f aca="false">IF(172&gt;COUNT(Register!$J$11:$J$510),"",SMALL(Register!$J$11:$J$510,172))</f>
        <v/>
      </c>
    </row>
    <row r="179" customFormat="false" ht="15" hidden="false" customHeight="false" outlineLevel="0" collapsed="false">
      <c r="A179" s="25" t="str">
        <f aca="false">IF($H179="","",INDEX(Register!$A$11:$A$510,MATCH($H179,Register!$J$11:$J$510,0))&amp;"")</f>
        <v/>
      </c>
      <c r="B179" s="25" t="str">
        <f aca="false">IF($H179="","",INDEX(Register!$B$11:$B$510,MATCH($H179,Register!$J$11:$J$510,0))&amp;"")</f>
        <v/>
      </c>
      <c r="C179" s="25" t="str">
        <f aca="false">IF($H179="","",INDEX(Register!$C$11:$C$510,MATCH($H179,Register!$J$11:$J$510,0))&amp;"")</f>
        <v/>
      </c>
      <c r="D179" s="26" t="str">
        <f aca="false">IF($H179="","",IF(ISNUMBER(INDEX(Register!$D$11:$D$510,MATCH($H179,Register!$J$11:$J$510,0))),INDEX(Register!$D$11:$D$510,MATCH($H179,Register!$J$11:$J$510,0)),INDEX(Register!$D$11:$D$510,MATCH($H179,Register!$J$11:$J$510,0))&amp;""))</f>
        <v/>
      </c>
      <c r="E179" s="25" t="str">
        <f aca="false">IF($H179="","",IF(ISNUMBER(INDEX(Register!$E$11:$E$510,MATCH($H179,Register!$J$11:$J$510,0))),INDEX(Register!$E$11:$E$510,MATCH($H179,Register!$J$11:$J$510,0))&amp;" mo",INDEX(Register!$E$11:$E$510,MATCH($H179,Register!$J$11:$J$510,0))&amp;""))</f>
        <v/>
      </c>
      <c r="F179" s="26" t="str">
        <f aca="false">IF($H179="","",INDEX(Register!$F$11:$F$510,MATCH($H179,Register!$J$11:$J$510,0)))</f>
        <v/>
      </c>
      <c r="G179" s="27" t="str">
        <f aca="false">IF($H179="","",IF(INDEX(Register!$G$11:$G$510,MATCH($H179,Register!$J$11:$J$510,0))="Check details","Check details: "&amp;INDEX(Register!$I$11:$I$510,MATCH($H179,Register!$J$11:$J$510,0)),INDEX(Register!$G$11:$G$510,MATCH($H179,Register!$J$11:$J$510,0))))</f>
        <v/>
      </c>
      <c r="H179" s="28" t="str">
        <f aca="false">IF(173&gt;COUNT(Register!$J$11:$J$510),"",SMALL(Register!$J$11:$J$510,173))</f>
        <v/>
      </c>
    </row>
    <row r="180" customFormat="false" ht="15" hidden="false" customHeight="false" outlineLevel="0" collapsed="false">
      <c r="A180" s="25" t="str">
        <f aca="false">IF($H180="","",INDEX(Register!$A$11:$A$510,MATCH($H180,Register!$J$11:$J$510,0))&amp;"")</f>
        <v/>
      </c>
      <c r="B180" s="25" t="str">
        <f aca="false">IF($H180="","",INDEX(Register!$B$11:$B$510,MATCH($H180,Register!$J$11:$J$510,0))&amp;"")</f>
        <v/>
      </c>
      <c r="C180" s="25" t="str">
        <f aca="false">IF($H180="","",INDEX(Register!$C$11:$C$510,MATCH($H180,Register!$J$11:$J$510,0))&amp;"")</f>
        <v/>
      </c>
      <c r="D180" s="26" t="str">
        <f aca="false">IF($H180="","",IF(ISNUMBER(INDEX(Register!$D$11:$D$510,MATCH($H180,Register!$J$11:$J$510,0))),INDEX(Register!$D$11:$D$510,MATCH($H180,Register!$J$11:$J$510,0)),INDEX(Register!$D$11:$D$510,MATCH($H180,Register!$J$11:$J$510,0))&amp;""))</f>
        <v/>
      </c>
      <c r="E180" s="25" t="str">
        <f aca="false">IF($H180="","",IF(ISNUMBER(INDEX(Register!$E$11:$E$510,MATCH($H180,Register!$J$11:$J$510,0))),INDEX(Register!$E$11:$E$510,MATCH($H180,Register!$J$11:$J$510,0))&amp;" mo",INDEX(Register!$E$11:$E$510,MATCH($H180,Register!$J$11:$J$510,0))&amp;""))</f>
        <v/>
      </c>
      <c r="F180" s="26" t="str">
        <f aca="false">IF($H180="","",INDEX(Register!$F$11:$F$510,MATCH($H180,Register!$J$11:$J$510,0)))</f>
        <v/>
      </c>
      <c r="G180" s="27" t="str">
        <f aca="false">IF($H180="","",IF(INDEX(Register!$G$11:$G$510,MATCH($H180,Register!$J$11:$J$510,0))="Check details","Check details: "&amp;INDEX(Register!$I$11:$I$510,MATCH($H180,Register!$J$11:$J$510,0)),INDEX(Register!$G$11:$G$510,MATCH($H180,Register!$J$11:$J$510,0))))</f>
        <v/>
      </c>
      <c r="H180" s="28" t="str">
        <f aca="false">IF(174&gt;COUNT(Register!$J$11:$J$510),"",SMALL(Register!$J$11:$J$510,174))</f>
        <v/>
      </c>
    </row>
    <row r="181" customFormat="false" ht="15" hidden="false" customHeight="false" outlineLevel="0" collapsed="false">
      <c r="A181" s="25" t="str">
        <f aca="false">IF($H181="","",INDEX(Register!$A$11:$A$510,MATCH($H181,Register!$J$11:$J$510,0))&amp;"")</f>
        <v/>
      </c>
      <c r="B181" s="25" t="str">
        <f aca="false">IF($H181="","",INDEX(Register!$B$11:$B$510,MATCH($H181,Register!$J$11:$J$510,0))&amp;"")</f>
        <v/>
      </c>
      <c r="C181" s="25" t="str">
        <f aca="false">IF($H181="","",INDEX(Register!$C$11:$C$510,MATCH($H181,Register!$J$11:$J$510,0))&amp;"")</f>
        <v/>
      </c>
      <c r="D181" s="26" t="str">
        <f aca="false">IF($H181="","",IF(ISNUMBER(INDEX(Register!$D$11:$D$510,MATCH($H181,Register!$J$11:$J$510,0))),INDEX(Register!$D$11:$D$510,MATCH($H181,Register!$J$11:$J$510,0)),INDEX(Register!$D$11:$D$510,MATCH($H181,Register!$J$11:$J$510,0))&amp;""))</f>
        <v/>
      </c>
      <c r="E181" s="25" t="str">
        <f aca="false">IF($H181="","",IF(ISNUMBER(INDEX(Register!$E$11:$E$510,MATCH($H181,Register!$J$11:$J$510,0))),INDEX(Register!$E$11:$E$510,MATCH($H181,Register!$J$11:$J$510,0))&amp;" mo",INDEX(Register!$E$11:$E$510,MATCH($H181,Register!$J$11:$J$510,0))&amp;""))</f>
        <v/>
      </c>
      <c r="F181" s="26" t="str">
        <f aca="false">IF($H181="","",INDEX(Register!$F$11:$F$510,MATCH($H181,Register!$J$11:$J$510,0)))</f>
        <v/>
      </c>
      <c r="G181" s="27" t="str">
        <f aca="false">IF($H181="","",IF(INDEX(Register!$G$11:$G$510,MATCH($H181,Register!$J$11:$J$510,0))="Check details","Check details: "&amp;INDEX(Register!$I$11:$I$510,MATCH($H181,Register!$J$11:$J$510,0)),INDEX(Register!$G$11:$G$510,MATCH($H181,Register!$J$11:$J$510,0))))</f>
        <v/>
      </c>
      <c r="H181" s="28" t="str">
        <f aca="false">IF(175&gt;COUNT(Register!$J$11:$J$510),"",SMALL(Register!$J$11:$J$510,175))</f>
        <v/>
      </c>
    </row>
    <row r="182" customFormat="false" ht="15" hidden="false" customHeight="false" outlineLevel="0" collapsed="false">
      <c r="A182" s="25" t="str">
        <f aca="false">IF($H182="","",INDEX(Register!$A$11:$A$510,MATCH($H182,Register!$J$11:$J$510,0))&amp;"")</f>
        <v/>
      </c>
      <c r="B182" s="25" t="str">
        <f aca="false">IF($H182="","",INDEX(Register!$B$11:$B$510,MATCH($H182,Register!$J$11:$J$510,0))&amp;"")</f>
        <v/>
      </c>
      <c r="C182" s="25" t="str">
        <f aca="false">IF($H182="","",INDEX(Register!$C$11:$C$510,MATCH($H182,Register!$J$11:$J$510,0))&amp;"")</f>
        <v/>
      </c>
      <c r="D182" s="26" t="str">
        <f aca="false">IF($H182="","",IF(ISNUMBER(INDEX(Register!$D$11:$D$510,MATCH($H182,Register!$J$11:$J$510,0))),INDEX(Register!$D$11:$D$510,MATCH($H182,Register!$J$11:$J$510,0)),INDEX(Register!$D$11:$D$510,MATCH($H182,Register!$J$11:$J$510,0))&amp;""))</f>
        <v/>
      </c>
      <c r="E182" s="25" t="str">
        <f aca="false">IF($H182="","",IF(ISNUMBER(INDEX(Register!$E$11:$E$510,MATCH($H182,Register!$J$11:$J$510,0))),INDEX(Register!$E$11:$E$510,MATCH($H182,Register!$J$11:$J$510,0))&amp;" mo",INDEX(Register!$E$11:$E$510,MATCH($H182,Register!$J$11:$J$510,0))&amp;""))</f>
        <v/>
      </c>
      <c r="F182" s="26" t="str">
        <f aca="false">IF($H182="","",INDEX(Register!$F$11:$F$510,MATCH($H182,Register!$J$11:$J$510,0)))</f>
        <v/>
      </c>
      <c r="G182" s="27" t="str">
        <f aca="false">IF($H182="","",IF(INDEX(Register!$G$11:$G$510,MATCH($H182,Register!$J$11:$J$510,0))="Check details","Check details: "&amp;INDEX(Register!$I$11:$I$510,MATCH($H182,Register!$J$11:$J$510,0)),INDEX(Register!$G$11:$G$510,MATCH($H182,Register!$J$11:$J$510,0))))</f>
        <v/>
      </c>
      <c r="H182" s="28" t="str">
        <f aca="false">IF(176&gt;COUNT(Register!$J$11:$J$510),"",SMALL(Register!$J$11:$J$510,176))</f>
        <v/>
      </c>
    </row>
    <row r="183" customFormat="false" ht="15" hidden="false" customHeight="false" outlineLevel="0" collapsed="false">
      <c r="A183" s="25" t="str">
        <f aca="false">IF($H183="","",INDEX(Register!$A$11:$A$510,MATCH($H183,Register!$J$11:$J$510,0))&amp;"")</f>
        <v/>
      </c>
      <c r="B183" s="25" t="str">
        <f aca="false">IF($H183="","",INDEX(Register!$B$11:$B$510,MATCH($H183,Register!$J$11:$J$510,0))&amp;"")</f>
        <v/>
      </c>
      <c r="C183" s="25" t="str">
        <f aca="false">IF($H183="","",INDEX(Register!$C$11:$C$510,MATCH($H183,Register!$J$11:$J$510,0))&amp;"")</f>
        <v/>
      </c>
      <c r="D183" s="26" t="str">
        <f aca="false">IF($H183="","",IF(ISNUMBER(INDEX(Register!$D$11:$D$510,MATCH($H183,Register!$J$11:$J$510,0))),INDEX(Register!$D$11:$D$510,MATCH($H183,Register!$J$11:$J$510,0)),INDEX(Register!$D$11:$D$510,MATCH($H183,Register!$J$11:$J$510,0))&amp;""))</f>
        <v/>
      </c>
      <c r="E183" s="25" t="str">
        <f aca="false">IF($H183="","",IF(ISNUMBER(INDEX(Register!$E$11:$E$510,MATCH($H183,Register!$J$11:$J$510,0))),INDEX(Register!$E$11:$E$510,MATCH($H183,Register!$J$11:$J$510,0))&amp;" mo",INDEX(Register!$E$11:$E$510,MATCH($H183,Register!$J$11:$J$510,0))&amp;""))</f>
        <v/>
      </c>
      <c r="F183" s="26" t="str">
        <f aca="false">IF($H183="","",INDEX(Register!$F$11:$F$510,MATCH($H183,Register!$J$11:$J$510,0)))</f>
        <v/>
      </c>
      <c r="G183" s="27" t="str">
        <f aca="false">IF($H183="","",IF(INDEX(Register!$G$11:$G$510,MATCH($H183,Register!$J$11:$J$510,0))="Check details","Check details: "&amp;INDEX(Register!$I$11:$I$510,MATCH($H183,Register!$J$11:$J$510,0)),INDEX(Register!$G$11:$G$510,MATCH($H183,Register!$J$11:$J$510,0))))</f>
        <v/>
      </c>
      <c r="H183" s="28" t="str">
        <f aca="false">IF(177&gt;COUNT(Register!$J$11:$J$510),"",SMALL(Register!$J$11:$J$510,177))</f>
        <v/>
      </c>
    </row>
    <row r="184" customFormat="false" ht="15" hidden="false" customHeight="false" outlineLevel="0" collapsed="false">
      <c r="A184" s="25" t="str">
        <f aca="false">IF($H184="","",INDEX(Register!$A$11:$A$510,MATCH($H184,Register!$J$11:$J$510,0))&amp;"")</f>
        <v/>
      </c>
      <c r="B184" s="25" t="str">
        <f aca="false">IF($H184="","",INDEX(Register!$B$11:$B$510,MATCH($H184,Register!$J$11:$J$510,0))&amp;"")</f>
        <v/>
      </c>
      <c r="C184" s="25" t="str">
        <f aca="false">IF($H184="","",INDEX(Register!$C$11:$C$510,MATCH($H184,Register!$J$11:$J$510,0))&amp;"")</f>
        <v/>
      </c>
      <c r="D184" s="26" t="str">
        <f aca="false">IF($H184="","",IF(ISNUMBER(INDEX(Register!$D$11:$D$510,MATCH($H184,Register!$J$11:$J$510,0))),INDEX(Register!$D$11:$D$510,MATCH($H184,Register!$J$11:$J$510,0)),INDEX(Register!$D$11:$D$510,MATCH($H184,Register!$J$11:$J$510,0))&amp;""))</f>
        <v/>
      </c>
      <c r="E184" s="25" t="str">
        <f aca="false">IF($H184="","",IF(ISNUMBER(INDEX(Register!$E$11:$E$510,MATCH($H184,Register!$J$11:$J$510,0))),INDEX(Register!$E$11:$E$510,MATCH($H184,Register!$J$11:$J$510,0))&amp;" mo",INDEX(Register!$E$11:$E$510,MATCH($H184,Register!$J$11:$J$510,0))&amp;""))</f>
        <v/>
      </c>
      <c r="F184" s="26" t="str">
        <f aca="false">IF($H184="","",INDEX(Register!$F$11:$F$510,MATCH($H184,Register!$J$11:$J$510,0)))</f>
        <v/>
      </c>
      <c r="G184" s="27" t="str">
        <f aca="false">IF($H184="","",IF(INDEX(Register!$G$11:$G$510,MATCH($H184,Register!$J$11:$J$510,0))="Check details","Check details: "&amp;INDEX(Register!$I$11:$I$510,MATCH($H184,Register!$J$11:$J$510,0)),INDEX(Register!$G$11:$G$510,MATCH($H184,Register!$J$11:$J$510,0))))</f>
        <v/>
      </c>
      <c r="H184" s="28" t="str">
        <f aca="false">IF(178&gt;COUNT(Register!$J$11:$J$510),"",SMALL(Register!$J$11:$J$510,178))</f>
        <v/>
      </c>
    </row>
    <row r="185" customFormat="false" ht="15" hidden="false" customHeight="false" outlineLevel="0" collapsed="false">
      <c r="A185" s="25" t="str">
        <f aca="false">IF($H185="","",INDEX(Register!$A$11:$A$510,MATCH($H185,Register!$J$11:$J$510,0))&amp;"")</f>
        <v/>
      </c>
      <c r="B185" s="25" t="str">
        <f aca="false">IF($H185="","",INDEX(Register!$B$11:$B$510,MATCH($H185,Register!$J$11:$J$510,0))&amp;"")</f>
        <v/>
      </c>
      <c r="C185" s="25" t="str">
        <f aca="false">IF($H185="","",INDEX(Register!$C$11:$C$510,MATCH($H185,Register!$J$11:$J$510,0))&amp;"")</f>
        <v/>
      </c>
      <c r="D185" s="26" t="str">
        <f aca="false">IF($H185="","",IF(ISNUMBER(INDEX(Register!$D$11:$D$510,MATCH($H185,Register!$J$11:$J$510,0))),INDEX(Register!$D$11:$D$510,MATCH($H185,Register!$J$11:$J$510,0)),INDEX(Register!$D$11:$D$510,MATCH($H185,Register!$J$11:$J$510,0))&amp;""))</f>
        <v/>
      </c>
      <c r="E185" s="25" t="str">
        <f aca="false">IF($H185="","",IF(ISNUMBER(INDEX(Register!$E$11:$E$510,MATCH($H185,Register!$J$11:$J$510,0))),INDEX(Register!$E$11:$E$510,MATCH($H185,Register!$J$11:$J$510,0))&amp;" mo",INDEX(Register!$E$11:$E$510,MATCH($H185,Register!$J$11:$J$510,0))&amp;""))</f>
        <v/>
      </c>
      <c r="F185" s="26" t="str">
        <f aca="false">IF($H185="","",INDEX(Register!$F$11:$F$510,MATCH($H185,Register!$J$11:$J$510,0)))</f>
        <v/>
      </c>
      <c r="G185" s="27" t="str">
        <f aca="false">IF($H185="","",IF(INDEX(Register!$G$11:$G$510,MATCH($H185,Register!$J$11:$J$510,0))="Check details","Check details: "&amp;INDEX(Register!$I$11:$I$510,MATCH($H185,Register!$J$11:$J$510,0)),INDEX(Register!$G$11:$G$510,MATCH($H185,Register!$J$11:$J$510,0))))</f>
        <v/>
      </c>
      <c r="H185" s="28" t="str">
        <f aca="false">IF(179&gt;COUNT(Register!$J$11:$J$510),"",SMALL(Register!$J$11:$J$510,179))</f>
        <v/>
      </c>
    </row>
    <row r="186" customFormat="false" ht="15" hidden="false" customHeight="false" outlineLevel="0" collapsed="false">
      <c r="A186" s="25" t="str">
        <f aca="false">IF($H186="","",INDEX(Register!$A$11:$A$510,MATCH($H186,Register!$J$11:$J$510,0))&amp;"")</f>
        <v/>
      </c>
      <c r="B186" s="25" t="str">
        <f aca="false">IF($H186="","",INDEX(Register!$B$11:$B$510,MATCH($H186,Register!$J$11:$J$510,0))&amp;"")</f>
        <v/>
      </c>
      <c r="C186" s="25" t="str">
        <f aca="false">IF($H186="","",INDEX(Register!$C$11:$C$510,MATCH($H186,Register!$J$11:$J$510,0))&amp;"")</f>
        <v/>
      </c>
      <c r="D186" s="26" t="str">
        <f aca="false">IF($H186="","",IF(ISNUMBER(INDEX(Register!$D$11:$D$510,MATCH($H186,Register!$J$11:$J$510,0))),INDEX(Register!$D$11:$D$510,MATCH($H186,Register!$J$11:$J$510,0)),INDEX(Register!$D$11:$D$510,MATCH($H186,Register!$J$11:$J$510,0))&amp;""))</f>
        <v/>
      </c>
      <c r="E186" s="25" t="str">
        <f aca="false">IF($H186="","",IF(ISNUMBER(INDEX(Register!$E$11:$E$510,MATCH($H186,Register!$J$11:$J$510,0))),INDEX(Register!$E$11:$E$510,MATCH($H186,Register!$J$11:$J$510,0))&amp;" mo",INDEX(Register!$E$11:$E$510,MATCH($H186,Register!$J$11:$J$510,0))&amp;""))</f>
        <v/>
      </c>
      <c r="F186" s="26" t="str">
        <f aca="false">IF($H186="","",INDEX(Register!$F$11:$F$510,MATCH($H186,Register!$J$11:$J$510,0)))</f>
        <v/>
      </c>
      <c r="G186" s="27" t="str">
        <f aca="false">IF($H186="","",IF(INDEX(Register!$G$11:$G$510,MATCH($H186,Register!$J$11:$J$510,0))="Check details","Check details: "&amp;INDEX(Register!$I$11:$I$510,MATCH($H186,Register!$J$11:$J$510,0)),INDEX(Register!$G$11:$G$510,MATCH($H186,Register!$J$11:$J$510,0))))</f>
        <v/>
      </c>
      <c r="H186" s="28" t="str">
        <f aca="false">IF(180&gt;COUNT(Register!$J$11:$J$510),"",SMALL(Register!$J$11:$J$510,180))</f>
        <v/>
      </c>
    </row>
    <row r="187" customFormat="false" ht="15" hidden="false" customHeight="false" outlineLevel="0" collapsed="false">
      <c r="A187" s="25" t="str">
        <f aca="false">IF($H187="","",INDEX(Register!$A$11:$A$510,MATCH($H187,Register!$J$11:$J$510,0))&amp;"")</f>
        <v/>
      </c>
      <c r="B187" s="25" t="str">
        <f aca="false">IF($H187="","",INDEX(Register!$B$11:$B$510,MATCH($H187,Register!$J$11:$J$510,0))&amp;"")</f>
        <v/>
      </c>
      <c r="C187" s="25" t="str">
        <f aca="false">IF($H187="","",INDEX(Register!$C$11:$C$510,MATCH($H187,Register!$J$11:$J$510,0))&amp;"")</f>
        <v/>
      </c>
      <c r="D187" s="26" t="str">
        <f aca="false">IF($H187="","",IF(ISNUMBER(INDEX(Register!$D$11:$D$510,MATCH($H187,Register!$J$11:$J$510,0))),INDEX(Register!$D$11:$D$510,MATCH($H187,Register!$J$11:$J$510,0)),INDEX(Register!$D$11:$D$510,MATCH($H187,Register!$J$11:$J$510,0))&amp;""))</f>
        <v/>
      </c>
      <c r="E187" s="25" t="str">
        <f aca="false">IF($H187="","",IF(ISNUMBER(INDEX(Register!$E$11:$E$510,MATCH($H187,Register!$J$11:$J$510,0))),INDEX(Register!$E$11:$E$510,MATCH($H187,Register!$J$11:$J$510,0))&amp;" mo",INDEX(Register!$E$11:$E$510,MATCH($H187,Register!$J$11:$J$510,0))&amp;""))</f>
        <v/>
      </c>
      <c r="F187" s="26" t="str">
        <f aca="false">IF($H187="","",INDEX(Register!$F$11:$F$510,MATCH($H187,Register!$J$11:$J$510,0)))</f>
        <v/>
      </c>
      <c r="G187" s="27" t="str">
        <f aca="false">IF($H187="","",IF(INDEX(Register!$G$11:$G$510,MATCH($H187,Register!$J$11:$J$510,0))="Check details","Check details: "&amp;INDEX(Register!$I$11:$I$510,MATCH($H187,Register!$J$11:$J$510,0)),INDEX(Register!$G$11:$G$510,MATCH($H187,Register!$J$11:$J$510,0))))</f>
        <v/>
      </c>
      <c r="H187" s="28" t="str">
        <f aca="false">IF(181&gt;COUNT(Register!$J$11:$J$510),"",SMALL(Register!$J$11:$J$510,181))</f>
        <v/>
      </c>
    </row>
    <row r="188" customFormat="false" ht="15" hidden="false" customHeight="false" outlineLevel="0" collapsed="false">
      <c r="A188" s="25" t="str">
        <f aca="false">IF($H188="","",INDEX(Register!$A$11:$A$510,MATCH($H188,Register!$J$11:$J$510,0))&amp;"")</f>
        <v/>
      </c>
      <c r="B188" s="25" t="str">
        <f aca="false">IF($H188="","",INDEX(Register!$B$11:$B$510,MATCH($H188,Register!$J$11:$J$510,0))&amp;"")</f>
        <v/>
      </c>
      <c r="C188" s="25" t="str">
        <f aca="false">IF($H188="","",INDEX(Register!$C$11:$C$510,MATCH($H188,Register!$J$11:$J$510,0))&amp;"")</f>
        <v/>
      </c>
      <c r="D188" s="26" t="str">
        <f aca="false">IF($H188="","",IF(ISNUMBER(INDEX(Register!$D$11:$D$510,MATCH($H188,Register!$J$11:$J$510,0))),INDEX(Register!$D$11:$D$510,MATCH($H188,Register!$J$11:$J$510,0)),INDEX(Register!$D$11:$D$510,MATCH($H188,Register!$J$11:$J$510,0))&amp;""))</f>
        <v/>
      </c>
      <c r="E188" s="25" t="str">
        <f aca="false">IF($H188="","",IF(ISNUMBER(INDEX(Register!$E$11:$E$510,MATCH($H188,Register!$J$11:$J$510,0))),INDEX(Register!$E$11:$E$510,MATCH($H188,Register!$J$11:$J$510,0))&amp;" mo",INDEX(Register!$E$11:$E$510,MATCH($H188,Register!$J$11:$J$510,0))&amp;""))</f>
        <v/>
      </c>
      <c r="F188" s="26" t="str">
        <f aca="false">IF($H188="","",INDEX(Register!$F$11:$F$510,MATCH($H188,Register!$J$11:$J$510,0)))</f>
        <v/>
      </c>
      <c r="G188" s="27" t="str">
        <f aca="false">IF($H188="","",IF(INDEX(Register!$G$11:$G$510,MATCH($H188,Register!$J$11:$J$510,0))="Check details","Check details: "&amp;INDEX(Register!$I$11:$I$510,MATCH($H188,Register!$J$11:$J$510,0)),INDEX(Register!$G$11:$G$510,MATCH($H188,Register!$J$11:$J$510,0))))</f>
        <v/>
      </c>
      <c r="H188" s="28" t="str">
        <f aca="false">IF(182&gt;COUNT(Register!$J$11:$J$510),"",SMALL(Register!$J$11:$J$510,182))</f>
        <v/>
      </c>
    </row>
    <row r="189" customFormat="false" ht="15" hidden="false" customHeight="false" outlineLevel="0" collapsed="false">
      <c r="A189" s="25" t="str">
        <f aca="false">IF($H189="","",INDEX(Register!$A$11:$A$510,MATCH($H189,Register!$J$11:$J$510,0))&amp;"")</f>
        <v/>
      </c>
      <c r="B189" s="25" t="str">
        <f aca="false">IF($H189="","",INDEX(Register!$B$11:$B$510,MATCH($H189,Register!$J$11:$J$510,0))&amp;"")</f>
        <v/>
      </c>
      <c r="C189" s="25" t="str">
        <f aca="false">IF($H189="","",INDEX(Register!$C$11:$C$510,MATCH($H189,Register!$J$11:$J$510,0))&amp;"")</f>
        <v/>
      </c>
      <c r="D189" s="26" t="str">
        <f aca="false">IF($H189="","",IF(ISNUMBER(INDEX(Register!$D$11:$D$510,MATCH($H189,Register!$J$11:$J$510,0))),INDEX(Register!$D$11:$D$510,MATCH($H189,Register!$J$11:$J$510,0)),INDEX(Register!$D$11:$D$510,MATCH($H189,Register!$J$11:$J$510,0))&amp;""))</f>
        <v/>
      </c>
      <c r="E189" s="25" t="str">
        <f aca="false">IF($H189="","",IF(ISNUMBER(INDEX(Register!$E$11:$E$510,MATCH($H189,Register!$J$11:$J$510,0))),INDEX(Register!$E$11:$E$510,MATCH($H189,Register!$J$11:$J$510,0))&amp;" mo",INDEX(Register!$E$11:$E$510,MATCH($H189,Register!$J$11:$J$510,0))&amp;""))</f>
        <v/>
      </c>
      <c r="F189" s="26" t="str">
        <f aca="false">IF($H189="","",INDEX(Register!$F$11:$F$510,MATCH($H189,Register!$J$11:$J$510,0)))</f>
        <v/>
      </c>
      <c r="G189" s="27" t="str">
        <f aca="false">IF($H189="","",IF(INDEX(Register!$G$11:$G$510,MATCH($H189,Register!$J$11:$J$510,0))="Check details","Check details: "&amp;INDEX(Register!$I$11:$I$510,MATCH($H189,Register!$J$11:$J$510,0)),INDEX(Register!$G$11:$G$510,MATCH($H189,Register!$J$11:$J$510,0))))</f>
        <v/>
      </c>
      <c r="H189" s="28" t="str">
        <f aca="false">IF(183&gt;COUNT(Register!$J$11:$J$510),"",SMALL(Register!$J$11:$J$510,183))</f>
        <v/>
      </c>
    </row>
    <row r="190" customFormat="false" ht="15" hidden="false" customHeight="false" outlineLevel="0" collapsed="false">
      <c r="A190" s="25" t="str">
        <f aca="false">IF($H190="","",INDEX(Register!$A$11:$A$510,MATCH($H190,Register!$J$11:$J$510,0))&amp;"")</f>
        <v/>
      </c>
      <c r="B190" s="25" t="str">
        <f aca="false">IF($H190="","",INDEX(Register!$B$11:$B$510,MATCH($H190,Register!$J$11:$J$510,0))&amp;"")</f>
        <v/>
      </c>
      <c r="C190" s="25" t="str">
        <f aca="false">IF($H190="","",INDEX(Register!$C$11:$C$510,MATCH($H190,Register!$J$11:$J$510,0))&amp;"")</f>
        <v/>
      </c>
      <c r="D190" s="26" t="str">
        <f aca="false">IF($H190="","",IF(ISNUMBER(INDEX(Register!$D$11:$D$510,MATCH($H190,Register!$J$11:$J$510,0))),INDEX(Register!$D$11:$D$510,MATCH($H190,Register!$J$11:$J$510,0)),INDEX(Register!$D$11:$D$510,MATCH($H190,Register!$J$11:$J$510,0))&amp;""))</f>
        <v/>
      </c>
      <c r="E190" s="25" t="str">
        <f aca="false">IF($H190="","",IF(ISNUMBER(INDEX(Register!$E$11:$E$510,MATCH($H190,Register!$J$11:$J$510,0))),INDEX(Register!$E$11:$E$510,MATCH($H190,Register!$J$11:$J$510,0))&amp;" mo",INDEX(Register!$E$11:$E$510,MATCH($H190,Register!$J$11:$J$510,0))&amp;""))</f>
        <v/>
      </c>
      <c r="F190" s="26" t="str">
        <f aca="false">IF($H190="","",INDEX(Register!$F$11:$F$510,MATCH($H190,Register!$J$11:$J$510,0)))</f>
        <v/>
      </c>
      <c r="G190" s="27" t="str">
        <f aca="false">IF($H190="","",IF(INDEX(Register!$G$11:$G$510,MATCH($H190,Register!$J$11:$J$510,0))="Check details","Check details: "&amp;INDEX(Register!$I$11:$I$510,MATCH($H190,Register!$J$11:$J$510,0)),INDEX(Register!$G$11:$G$510,MATCH($H190,Register!$J$11:$J$510,0))))</f>
        <v/>
      </c>
      <c r="H190" s="28" t="str">
        <f aca="false">IF(184&gt;COUNT(Register!$J$11:$J$510),"",SMALL(Register!$J$11:$J$510,184))</f>
        <v/>
      </c>
    </row>
    <row r="191" customFormat="false" ht="15" hidden="false" customHeight="false" outlineLevel="0" collapsed="false">
      <c r="A191" s="25" t="str">
        <f aca="false">IF($H191="","",INDEX(Register!$A$11:$A$510,MATCH($H191,Register!$J$11:$J$510,0))&amp;"")</f>
        <v/>
      </c>
      <c r="B191" s="25" t="str">
        <f aca="false">IF($H191="","",INDEX(Register!$B$11:$B$510,MATCH($H191,Register!$J$11:$J$510,0))&amp;"")</f>
        <v/>
      </c>
      <c r="C191" s="25" t="str">
        <f aca="false">IF($H191="","",INDEX(Register!$C$11:$C$510,MATCH($H191,Register!$J$11:$J$510,0))&amp;"")</f>
        <v/>
      </c>
      <c r="D191" s="26" t="str">
        <f aca="false">IF($H191="","",IF(ISNUMBER(INDEX(Register!$D$11:$D$510,MATCH($H191,Register!$J$11:$J$510,0))),INDEX(Register!$D$11:$D$510,MATCH($H191,Register!$J$11:$J$510,0)),INDEX(Register!$D$11:$D$510,MATCH($H191,Register!$J$11:$J$510,0))&amp;""))</f>
        <v/>
      </c>
      <c r="E191" s="25" t="str">
        <f aca="false">IF($H191="","",IF(ISNUMBER(INDEX(Register!$E$11:$E$510,MATCH($H191,Register!$J$11:$J$510,0))),INDEX(Register!$E$11:$E$510,MATCH($H191,Register!$J$11:$J$510,0))&amp;" mo",INDEX(Register!$E$11:$E$510,MATCH($H191,Register!$J$11:$J$510,0))&amp;""))</f>
        <v/>
      </c>
      <c r="F191" s="26" t="str">
        <f aca="false">IF($H191="","",INDEX(Register!$F$11:$F$510,MATCH($H191,Register!$J$11:$J$510,0)))</f>
        <v/>
      </c>
      <c r="G191" s="27" t="str">
        <f aca="false">IF($H191="","",IF(INDEX(Register!$G$11:$G$510,MATCH($H191,Register!$J$11:$J$510,0))="Check details","Check details: "&amp;INDEX(Register!$I$11:$I$510,MATCH($H191,Register!$J$11:$J$510,0)),INDEX(Register!$G$11:$G$510,MATCH($H191,Register!$J$11:$J$510,0))))</f>
        <v/>
      </c>
      <c r="H191" s="28" t="str">
        <f aca="false">IF(185&gt;COUNT(Register!$J$11:$J$510),"",SMALL(Register!$J$11:$J$510,185))</f>
        <v/>
      </c>
    </row>
    <row r="192" customFormat="false" ht="15" hidden="false" customHeight="false" outlineLevel="0" collapsed="false">
      <c r="A192" s="25" t="str">
        <f aca="false">IF($H192="","",INDEX(Register!$A$11:$A$510,MATCH($H192,Register!$J$11:$J$510,0))&amp;"")</f>
        <v/>
      </c>
      <c r="B192" s="25" t="str">
        <f aca="false">IF($H192="","",INDEX(Register!$B$11:$B$510,MATCH($H192,Register!$J$11:$J$510,0))&amp;"")</f>
        <v/>
      </c>
      <c r="C192" s="25" t="str">
        <f aca="false">IF($H192="","",INDEX(Register!$C$11:$C$510,MATCH($H192,Register!$J$11:$J$510,0))&amp;"")</f>
        <v/>
      </c>
      <c r="D192" s="26" t="str">
        <f aca="false">IF($H192="","",IF(ISNUMBER(INDEX(Register!$D$11:$D$510,MATCH($H192,Register!$J$11:$J$510,0))),INDEX(Register!$D$11:$D$510,MATCH($H192,Register!$J$11:$J$510,0)),INDEX(Register!$D$11:$D$510,MATCH($H192,Register!$J$11:$J$510,0))&amp;""))</f>
        <v/>
      </c>
      <c r="E192" s="25" t="str">
        <f aca="false">IF($H192="","",IF(ISNUMBER(INDEX(Register!$E$11:$E$510,MATCH($H192,Register!$J$11:$J$510,0))),INDEX(Register!$E$11:$E$510,MATCH($H192,Register!$J$11:$J$510,0))&amp;" mo",INDEX(Register!$E$11:$E$510,MATCH($H192,Register!$J$11:$J$510,0))&amp;""))</f>
        <v/>
      </c>
      <c r="F192" s="26" t="str">
        <f aca="false">IF($H192="","",INDEX(Register!$F$11:$F$510,MATCH($H192,Register!$J$11:$J$510,0)))</f>
        <v/>
      </c>
      <c r="G192" s="27" t="str">
        <f aca="false">IF($H192="","",IF(INDEX(Register!$G$11:$G$510,MATCH($H192,Register!$J$11:$J$510,0))="Check details","Check details: "&amp;INDEX(Register!$I$11:$I$510,MATCH($H192,Register!$J$11:$J$510,0)),INDEX(Register!$G$11:$G$510,MATCH($H192,Register!$J$11:$J$510,0))))</f>
        <v/>
      </c>
      <c r="H192" s="28" t="str">
        <f aca="false">IF(186&gt;COUNT(Register!$J$11:$J$510),"",SMALL(Register!$J$11:$J$510,186))</f>
        <v/>
      </c>
    </row>
    <row r="193" customFormat="false" ht="15" hidden="false" customHeight="false" outlineLevel="0" collapsed="false">
      <c r="A193" s="25" t="str">
        <f aca="false">IF($H193="","",INDEX(Register!$A$11:$A$510,MATCH($H193,Register!$J$11:$J$510,0))&amp;"")</f>
        <v/>
      </c>
      <c r="B193" s="25" t="str">
        <f aca="false">IF($H193="","",INDEX(Register!$B$11:$B$510,MATCH($H193,Register!$J$11:$J$510,0))&amp;"")</f>
        <v/>
      </c>
      <c r="C193" s="25" t="str">
        <f aca="false">IF($H193="","",INDEX(Register!$C$11:$C$510,MATCH($H193,Register!$J$11:$J$510,0))&amp;"")</f>
        <v/>
      </c>
      <c r="D193" s="26" t="str">
        <f aca="false">IF($H193="","",IF(ISNUMBER(INDEX(Register!$D$11:$D$510,MATCH($H193,Register!$J$11:$J$510,0))),INDEX(Register!$D$11:$D$510,MATCH($H193,Register!$J$11:$J$510,0)),INDEX(Register!$D$11:$D$510,MATCH($H193,Register!$J$11:$J$510,0))&amp;""))</f>
        <v/>
      </c>
      <c r="E193" s="25" t="str">
        <f aca="false">IF($H193="","",IF(ISNUMBER(INDEX(Register!$E$11:$E$510,MATCH($H193,Register!$J$11:$J$510,0))),INDEX(Register!$E$11:$E$510,MATCH($H193,Register!$J$11:$J$510,0))&amp;" mo",INDEX(Register!$E$11:$E$510,MATCH($H193,Register!$J$11:$J$510,0))&amp;""))</f>
        <v/>
      </c>
      <c r="F193" s="26" t="str">
        <f aca="false">IF($H193="","",INDEX(Register!$F$11:$F$510,MATCH($H193,Register!$J$11:$J$510,0)))</f>
        <v/>
      </c>
      <c r="G193" s="27" t="str">
        <f aca="false">IF($H193="","",IF(INDEX(Register!$G$11:$G$510,MATCH($H193,Register!$J$11:$J$510,0))="Check details","Check details: "&amp;INDEX(Register!$I$11:$I$510,MATCH($H193,Register!$J$11:$J$510,0)),INDEX(Register!$G$11:$G$510,MATCH($H193,Register!$J$11:$J$510,0))))</f>
        <v/>
      </c>
      <c r="H193" s="28" t="str">
        <f aca="false">IF(187&gt;COUNT(Register!$J$11:$J$510),"",SMALL(Register!$J$11:$J$510,187))</f>
        <v/>
      </c>
    </row>
    <row r="194" customFormat="false" ht="15" hidden="false" customHeight="false" outlineLevel="0" collapsed="false">
      <c r="A194" s="25" t="str">
        <f aca="false">IF($H194="","",INDEX(Register!$A$11:$A$510,MATCH($H194,Register!$J$11:$J$510,0))&amp;"")</f>
        <v/>
      </c>
      <c r="B194" s="25" t="str">
        <f aca="false">IF($H194="","",INDEX(Register!$B$11:$B$510,MATCH($H194,Register!$J$11:$J$510,0))&amp;"")</f>
        <v/>
      </c>
      <c r="C194" s="25" t="str">
        <f aca="false">IF($H194="","",INDEX(Register!$C$11:$C$510,MATCH($H194,Register!$J$11:$J$510,0))&amp;"")</f>
        <v/>
      </c>
      <c r="D194" s="26" t="str">
        <f aca="false">IF($H194="","",IF(ISNUMBER(INDEX(Register!$D$11:$D$510,MATCH($H194,Register!$J$11:$J$510,0))),INDEX(Register!$D$11:$D$510,MATCH($H194,Register!$J$11:$J$510,0)),INDEX(Register!$D$11:$D$510,MATCH($H194,Register!$J$11:$J$510,0))&amp;""))</f>
        <v/>
      </c>
      <c r="E194" s="25" t="str">
        <f aca="false">IF($H194="","",IF(ISNUMBER(INDEX(Register!$E$11:$E$510,MATCH($H194,Register!$J$11:$J$510,0))),INDEX(Register!$E$11:$E$510,MATCH($H194,Register!$J$11:$J$510,0))&amp;" mo",INDEX(Register!$E$11:$E$510,MATCH($H194,Register!$J$11:$J$510,0))&amp;""))</f>
        <v/>
      </c>
      <c r="F194" s="26" t="str">
        <f aca="false">IF($H194="","",INDEX(Register!$F$11:$F$510,MATCH($H194,Register!$J$11:$J$510,0)))</f>
        <v/>
      </c>
      <c r="G194" s="27" t="str">
        <f aca="false">IF($H194="","",IF(INDEX(Register!$G$11:$G$510,MATCH($H194,Register!$J$11:$J$510,0))="Check details","Check details: "&amp;INDEX(Register!$I$11:$I$510,MATCH($H194,Register!$J$11:$J$510,0)),INDEX(Register!$G$11:$G$510,MATCH($H194,Register!$J$11:$J$510,0))))</f>
        <v/>
      </c>
      <c r="H194" s="28" t="str">
        <f aca="false">IF(188&gt;COUNT(Register!$J$11:$J$510),"",SMALL(Register!$J$11:$J$510,188))</f>
        <v/>
      </c>
    </row>
    <row r="195" customFormat="false" ht="15" hidden="false" customHeight="false" outlineLevel="0" collapsed="false">
      <c r="A195" s="25" t="str">
        <f aca="false">IF($H195="","",INDEX(Register!$A$11:$A$510,MATCH($H195,Register!$J$11:$J$510,0))&amp;"")</f>
        <v/>
      </c>
      <c r="B195" s="25" t="str">
        <f aca="false">IF($H195="","",INDEX(Register!$B$11:$B$510,MATCH($H195,Register!$J$11:$J$510,0))&amp;"")</f>
        <v/>
      </c>
      <c r="C195" s="25" t="str">
        <f aca="false">IF($H195="","",INDEX(Register!$C$11:$C$510,MATCH($H195,Register!$J$11:$J$510,0))&amp;"")</f>
        <v/>
      </c>
      <c r="D195" s="26" t="str">
        <f aca="false">IF($H195="","",IF(ISNUMBER(INDEX(Register!$D$11:$D$510,MATCH($H195,Register!$J$11:$J$510,0))),INDEX(Register!$D$11:$D$510,MATCH($H195,Register!$J$11:$J$510,0)),INDEX(Register!$D$11:$D$510,MATCH($H195,Register!$J$11:$J$510,0))&amp;""))</f>
        <v/>
      </c>
      <c r="E195" s="25" t="str">
        <f aca="false">IF($H195="","",IF(ISNUMBER(INDEX(Register!$E$11:$E$510,MATCH($H195,Register!$J$11:$J$510,0))),INDEX(Register!$E$11:$E$510,MATCH($H195,Register!$J$11:$J$510,0))&amp;" mo",INDEX(Register!$E$11:$E$510,MATCH($H195,Register!$J$11:$J$510,0))&amp;""))</f>
        <v/>
      </c>
      <c r="F195" s="26" t="str">
        <f aca="false">IF($H195="","",INDEX(Register!$F$11:$F$510,MATCH($H195,Register!$J$11:$J$510,0)))</f>
        <v/>
      </c>
      <c r="G195" s="27" t="str">
        <f aca="false">IF($H195="","",IF(INDEX(Register!$G$11:$G$510,MATCH($H195,Register!$J$11:$J$510,0))="Check details","Check details: "&amp;INDEX(Register!$I$11:$I$510,MATCH($H195,Register!$J$11:$J$510,0)),INDEX(Register!$G$11:$G$510,MATCH($H195,Register!$J$11:$J$510,0))))</f>
        <v/>
      </c>
      <c r="H195" s="28" t="str">
        <f aca="false">IF(189&gt;COUNT(Register!$J$11:$J$510),"",SMALL(Register!$J$11:$J$510,189))</f>
        <v/>
      </c>
    </row>
    <row r="196" customFormat="false" ht="15" hidden="false" customHeight="false" outlineLevel="0" collapsed="false">
      <c r="A196" s="25" t="str">
        <f aca="false">IF($H196="","",INDEX(Register!$A$11:$A$510,MATCH($H196,Register!$J$11:$J$510,0))&amp;"")</f>
        <v/>
      </c>
      <c r="B196" s="25" t="str">
        <f aca="false">IF($H196="","",INDEX(Register!$B$11:$B$510,MATCH($H196,Register!$J$11:$J$510,0))&amp;"")</f>
        <v/>
      </c>
      <c r="C196" s="25" t="str">
        <f aca="false">IF($H196="","",INDEX(Register!$C$11:$C$510,MATCH($H196,Register!$J$11:$J$510,0))&amp;"")</f>
        <v/>
      </c>
      <c r="D196" s="26" t="str">
        <f aca="false">IF($H196="","",IF(ISNUMBER(INDEX(Register!$D$11:$D$510,MATCH($H196,Register!$J$11:$J$510,0))),INDEX(Register!$D$11:$D$510,MATCH($H196,Register!$J$11:$J$510,0)),INDEX(Register!$D$11:$D$510,MATCH($H196,Register!$J$11:$J$510,0))&amp;""))</f>
        <v/>
      </c>
      <c r="E196" s="25" t="str">
        <f aca="false">IF($H196="","",IF(ISNUMBER(INDEX(Register!$E$11:$E$510,MATCH($H196,Register!$J$11:$J$510,0))),INDEX(Register!$E$11:$E$510,MATCH($H196,Register!$J$11:$J$510,0))&amp;" mo",INDEX(Register!$E$11:$E$510,MATCH($H196,Register!$J$11:$J$510,0))&amp;""))</f>
        <v/>
      </c>
      <c r="F196" s="26" t="str">
        <f aca="false">IF($H196="","",INDEX(Register!$F$11:$F$510,MATCH($H196,Register!$J$11:$J$510,0)))</f>
        <v/>
      </c>
      <c r="G196" s="27" t="str">
        <f aca="false">IF($H196="","",IF(INDEX(Register!$G$11:$G$510,MATCH($H196,Register!$J$11:$J$510,0))="Check details","Check details: "&amp;INDEX(Register!$I$11:$I$510,MATCH($H196,Register!$J$11:$J$510,0)),INDEX(Register!$G$11:$G$510,MATCH($H196,Register!$J$11:$J$510,0))))</f>
        <v/>
      </c>
      <c r="H196" s="28" t="str">
        <f aca="false">IF(190&gt;COUNT(Register!$J$11:$J$510),"",SMALL(Register!$J$11:$J$510,190))</f>
        <v/>
      </c>
    </row>
    <row r="197" customFormat="false" ht="15" hidden="false" customHeight="false" outlineLevel="0" collapsed="false">
      <c r="A197" s="25" t="str">
        <f aca="false">IF($H197="","",INDEX(Register!$A$11:$A$510,MATCH($H197,Register!$J$11:$J$510,0))&amp;"")</f>
        <v/>
      </c>
      <c r="B197" s="25" t="str">
        <f aca="false">IF($H197="","",INDEX(Register!$B$11:$B$510,MATCH($H197,Register!$J$11:$J$510,0))&amp;"")</f>
        <v/>
      </c>
      <c r="C197" s="25" t="str">
        <f aca="false">IF($H197="","",INDEX(Register!$C$11:$C$510,MATCH($H197,Register!$J$11:$J$510,0))&amp;"")</f>
        <v/>
      </c>
      <c r="D197" s="26" t="str">
        <f aca="false">IF($H197="","",IF(ISNUMBER(INDEX(Register!$D$11:$D$510,MATCH($H197,Register!$J$11:$J$510,0))),INDEX(Register!$D$11:$D$510,MATCH($H197,Register!$J$11:$J$510,0)),INDEX(Register!$D$11:$D$510,MATCH($H197,Register!$J$11:$J$510,0))&amp;""))</f>
        <v/>
      </c>
      <c r="E197" s="25" t="str">
        <f aca="false">IF($H197="","",IF(ISNUMBER(INDEX(Register!$E$11:$E$510,MATCH($H197,Register!$J$11:$J$510,0))),INDEX(Register!$E$11:$E$510,MATCH($H197,Register!$J$11:$J$510,0))&amp;" mo",INDEX(Register!$E$11:$E$510,MATCH($H197,Register!$J$11:$J$510,0))&amp;""))</f>
        <v/>
      </c>
      <c r="F197" s="26" t="str">
        <f aca="false">IF($H197="","",INDEX(Register!$F$11:$F$510,MATCH($H197,Register!$J$11:$J$510,0)))</f>
        <v/>
      </c>
      <c r="G197" s="27" t="str">
        <f aca="false">IF($H197="","",IF(INDEX(Register!$G$11:$G$510,MATCH($H197,Register!$J$11:$J$510,0))="Check details","Check details: "&amp;INDEX(Register!$I$11:$I$510,MATCH($H197,Register!$J$11:$J$510,0)),INDEX(Register!$G$11:$G$510,MATCH($H197,Register!$J$11:$J$510,0))))</f>
        <v/>
      </c>
      <c r="H197" s="28" t="str">
        <f aca="false">IF(191&gt;COUNT(Register!$J$11:$J$510),"",SMALL(Register!$J$11:$J$510,191))</f>
        <v/>
      </c>
    </row>
    <row r="198" customFormat="false" ht="15" hidden="false" customHeight="false" outlineLevel="0" collapsed="false">
      <c r="A198" s="25" t="str">
        <f aca="false">IF($H198="","",INDEX(Register!$A$11:$A$510,MATCH($H198,Register!$J$11:$J$510,0))&amp;"")</f>
        <v/>
      </c>
      <c r="B198" s="25" t="str">
        <f aca="false">IF($H198="","",INDEX(Register!$B$11:$B$510,MATCH($H198,Register!$J$11:$J$510,0))&amp;"")</f>
        <v/>
      </c>
      <c r="C198" s="25" t="str">
        <f aca="false">IF($H198="","",INDEX(Register!$C$11:$C$510,MATCH($H198,Register!$J$11:$J$510,0))&amp;"")</f>
        <v/>
      </c>
      <c r="D198" s="26" t="str">
        <f aca="false">IF($H198="","",IF(ISNUMBER(INDEX(Register!$D$11:$D$510,MATCH($H198,Register!$J$11:$J$510,0))),INDEX(Register!$D$11:$D$510,MATCH($H198,Register!$J$11:$J$510,0)),INDEX(Register!$D$11:$D$510,MATCH($H198,Register!$J$11:$J$510,0))&amp;""))</f>
        <v/>
      </c>
      <c r="E198" s="25" t="str">
        <f aca="false">IF($H198="","",IF(ISNUMBER(INDEX(Register!$E$11:$E$510,MATCH($H198,Register!$J$11:$J$510,0))),INDEX(Register!$E$11:$E$510,MATCH($H198,Register!$J$11:$J$510,0))&amp;" mo",INDEX(Register!$E$11:$E$510,MATCH($H198,Register!$J$11:$J$510,0))&amp;""))</f>
        <v/>
      </c>
      <c r="F198" s="26" t="str">
        <f aca="false">IF($H198="","",INDEX(Register!$F$11:$F$510,MATCH($H198,Register!$J$11:$J$510,0)))</f>
        <v/>
      </c>
      <c r="G198" s="27" t="str">
        <f aca="false">IF($H198="","",IF(INDEX(Register!$G$11:$G$510,MATCH($H198,Register!$J$11:$J$510,0))="Check details","Check details: "&amp;INDEX(Register!$I$11:$I$510,MATCH($H198,Register!$J$11:$J$510,0)),INDEX(Register!$G$11:$G$510,MATCH($H198,Register!$J$11:$J$510,0))))</f>
        <v/>
      </c>
      <c r="H198" s="28" t="str">
        <f aca="false">IF(192&gt;COUNT(Register!$J$11:$J$510),"",SMALL(Register!$J$11:$J$510,192))</f>
        <v/>
      </c>
    </row>
    <row r="199" customFormat="false" ht="15" hidden="false" customHeight="false" outlineLevel="0" collapsed="false">
      <c r="A199" s="25" t="str">
        <f aca="false">IF($H199="","",INDEX(Register!$A$11:$A$510,MATCH($H199,Register!$J$11:$J$510,0))&amp;"")</f>
        <v/>
      </c>
      <c r="B199" s="25" t="str">
        <f aca="false">IF($H199="","",INDEX(Register!$B$11:$B$510,MATCH($H199,Register!$J$11:$J$510,0))&amp;"")</f>
        <v/>
      </c>
      <c r="C199" s="25" t="str">
        <f aca="false">IF($H199="","",INDEX(Register!$C$11:$C$510,MATCH($H199,Register!$J$11:$J$510,0))&amp;"")</f>
        <v/>
      </c>
      <c r="D199" s="26" t="str">
        <f aca="false">IF($H199="","",IF(ISNUMBER(INDEX(Register!$D$11:$D$510,MATCH($H199,Register!$J$11:$J$510,0))),INDEX(Register!$D$11:$D$510,MATCH($H199,Register!$J$11:$J$510,0)),INDEX(Register!$D$11:$D$510,MATCH($H199,Register!$J$11:$J$510,0))&amp;""))</f>
        <v/>
      </c>
      <c r="E199" s="25" t="str">
        <f aca="false">IF($H199="","",IF(ISNUMBER(INDEX(Register!$E$11:$E$510,MATCH($H199,Register!$J$11:$J$510,0))),INDEX(Register!$E$11:$E$510,MATCH($H199,Register!$J$11:$J$510,0))&amp;" mo",INDEX(Register!$E$11:$E$510,MATCH($H199,Register!$J$11:$J$510,0))&amp;""))</f>
        <v/>
      </c>
      <c r="F199" s="26" t="str">
        <f aca="false">IF($H199="","",INDEX(Register!$F$11:$F$510,MATCH($H199,Register!$J$11:$J$510,0)))</f>
        <v/>
      </c>
      <c r="G199" s="27" t="str">
        <f aca="false">IF($H199="","",IF(INDEX(Register!$G$11:$G$510,MATCH($H199,Register!$J$11:$J$510,0))="Check details","Check details: "&amp;INDEX(Register!$I$11:$I$510,MATCH($H199,Register!$J$11:$J$510,0)),INDEX(Register!$G$11:$G$510,MATCH($H199,Register!$J$11:$J$510,0))))</f>
        <v/>
      </c>
      <c r="H199" s="28" t="str">
        <f aca="false">IF(193&gt;COUNT(Register!$J$11:$J$510),"",SMALL(Register!$J$11:$J$510,193))</f>
        <v/>
      </c>
    </row>
    <row r="200" customFormat="false" ht="15" hidden="false" customHeight="false" outlineLevel="0" collapsed="false">
      <c r="A200" s="25" t="str">
        <f aca="false">IF($H200="","",INDEX(Register!$A$11:$A$510,MATCH($H200,Register!$J$11:$J$510,0))&amp;"")</f>
        <v/>
      </c>
      <c r="B200" s="25" t="str">
        <f aca="false">IF($H200="","",INDEX(Register!$B$11:$B$510,MATCH($H200,Register!$J$11:$J$510,0))&amp;"")</f>
        <v/>
      </c>
      <c r="C200" s="25" t="str">
        <f aca="false">IF($H200="","",INDEX(Register!$C$11:$C$510,MATCH($H200,Register!$J$11:$J$510,0))&amp;"")</f>
        <v/>
      </c>
      <c r="D200" s="26" t="str">
        <f aca="false">IF($H200="","",IF(ISNUMBER(INDEX(Register!$D$11:$D$510,MATCH($H200,Register!$J$11:$J$510,0))),INDEX(Register!$D$11:$D$510,MATCH($H200,Register!$J$11:$J$510,0)),INDEX(Register!$D$11:$D$510,MATCH($H200,Register!$J$11:$J$510,0))&amp;""))</f>
        <v/>
      </c>
      <c r="E200" s="25" t="str">
        <f aca="false">IF($H200="","",IF(ISNUMBER(INDEX(Register!$E$11:$E$510,MATCH($H200,Register!$J$11:$J$510,0))),INDEX(Register!$E$11:$E$510,MATCH($H200,Register!$J$11:$J$510,0))&amp;" mo",INDEX(Register!$E$11:$E$510,MATCH($H200,Register!$J$11:$J$510,0))&amp;""))</f>
        <v/>
      </c>
      <c r="F200" s="26" t="str">
        <f aca="false">IF($H200="","",INDEX(Register!$F$11:$F$510,MATCH($H200,Register!$J$11:$J$510,0)))</f>
        <v/>
      </c>
      <c r="G200" s="27" t="str">
        <f aca="false">IF($H200="","",IF(INDEX(Register!$G$11:$G$510,MATCH($H200,Register!$J$11:$J$510,0))="Check details","Check details: "&amp;INDEX(Register!$I$11:$I$510,MATCH($H200,Register!$J$11:$J$510,0)),INDEX(Register!$G$11:$G$510,MATCH($H200,Register!$J$11:$J$510,0))))</f>
        <v/>
      </c>
      <c r="H200" s="28" t="str">
        <f aca="false">IF(194&gt;COUNT(Register!$J$11:$J$510),"",SMALL(Register!$J$11:$J$510,194))</f>
        <v/>
      </c>
    </row>
    <row r="201" customFormat="false" ht="15" hidden="false" customHeight="false" outlineLevel="0" collapsed="false">
      <c r="A201" s="25" t="str">
        <f aca="false">IF($H201="","",INDEX(Register!$A$11:$A$510,MATCH($H201,Register!$J$11:$J$510,0))&amp;"")</f>
        <v/>
      </c>
      <c r="B201" s="25" t="str">
        <f aca="false">IF($H201="","",INDEX(Register!$B$11:$B$510,MATCH($H201,Register!$J$11:$J$510,0))&amp;"")</f>
        <v/>
      </c>
      <c r="C201" s="25" t="str">
        <f aca="false">IF($H201="","",INDEX(Register!$C$11:$C$510,MATCH($H201,Register!$J$11:$J$510,0))&amp;"")</f>
        <v/>
      </c>
      <c r="D201" s="26" t="str">
        <f aca="false">IF($H201="","",IF(ISNUMBER(INDEX(Register!$D$11:$D$510,MATCH($H201,Register!$J$11:$J$510,0))),INDEX(Register!$D$11:$D$510,MATCH($H201,Register!$J$11:$J$510,0)),INDEX(Register!$D$11:$D$510,MATCH($H201,Register!$J$11:$J$510,0))&amp;""))</f>
        <v/>
      </c>
      <c r="E201" s="25" t="str">
        <f aca="false">IF($H201="","",IF(ISNUMBER(INDEX(Register!$E$11:$E$510,MATCH($H201,Register!$J$11:$J$510,0))),INDEX(Register!$E$11:$E$510,MATCH($H201,Register!$J$11:$J$510,0))&amp;" mo",INDEX(Register!$E$11:$E$510,MATCH($H201,Register!$J$11:$J$510,0))&amp;""))</f>
        <v/>
      </c>
      <c r="F201" s="26" t="str">
        <f aca="false">IF($H201="","",INDEX(Register!$F$11:$F$510,MATCH($H201,Register!$J$11:$J$510,0)))</f>
        <v/>
      </c>
      <c r="G201" s="27" t="str">
        <f aca="false">IF($H201="","",IF(INDEX(Register!$G$11:$G$510,MATCH($H201,Register!$J$11:$J$510,0))="Check details","Check details: "&amp;INDEX(Register!$I$11:$I$510,MATCH($H201,Register!$J$11:$J$510,0)),INDEX(Register!$G$11:$G$510,MATCH($H201,Register!$J$11:$J$510,0))))</f>
        <v/>
      </c>
      <c r="H201" s="28" t="str">
        <f aca="false">IF(195&gt;COUNT(Register!$J$11:$J$510),"",SMALL(Register!$J$11:$J$510,195))</f>
        <v/>
      </c>
    </row>
    <row r="202" customFormat="false" ht="15" hidden="false" customHeight="false" outlineLevel="0" collapsed="false">
      <c r="A202" s="25" t="str">
        <f aca="false">IF($H202="","",INDEX(Register!$A$11:$A$510,MATCH($H202,Register!$J$11:$J$510,0))&amp;"")</f>
        <v/>
      </c>
      <c r="B202" s="25" t="str">
        <f aca="false">IF($H202="","",INDEX(Register!$B$11:$B$510,MATCH($H202,Register!$J$11:$J$510,0))&amp;"")</f>
        <v/>
      </c>
      <c r="C202" s="25" t="str">
        <f aca="false">IF($H202="","",INDEX(Register!$C$11:$C$510,MATCH($H202,Register!$J$11:$J$510,0))&amp;"")</f>
        <v/>
      </c>
      <c r="D202" s="26" t="str">
        <f aca="false">IF($H202="","",IF(ISNUMBER(INDEX(Register!$D$11:$D$510,MATCH($H202,Register!$J$11:$J$510,0))),INDEX(Register!$D$11:$D$510,MATCH($H202,Register!$J$11:$J$510,0)),INDEX(Register!$D$11:$D$510,MATCH($H202,Register!$J$11:$J$510,0))&amp;""))</f>
        <v/>
      </c>
      <c r="E202" s="25" t="str">
        <f aca="false">IF($H202="","",IF(ISNUMBER(INDEX(Register!$E$11:$E$510,MATCH($H202,Register!$J$11:$J$510,0))),INDEX(Register!$E$11:$E$510,MATCH($H202,Register!$J$11:$J$510,0))&amp;" mo",INDEX(Register!$E$11:$E$510,MATCH($H202,Register!$J$11:$J$510,0))&amp;""))</f>
        <v/>
      </c>
      <c r="F202" s="26" t="str">
        <f aca="false">IF($H202="","",INDEX(Register!$F$11:$F$510,MATCH($H202,Register!$J$11:$J$510,0)))</f>
        <v/>
      </c>
      <c r="G202" s="27" t="str">
        <f aca="false">IF($H202="","",IF(INDEX(Register!$G$11:$G$510,MATCH($H202,Register!$J$11:$J$510,0))="Check details","Check details: "&amp;INDEX(Register!$I$11:$I$510,MATCH($H202,Register!$J$11:$J$510,0)),INDEX(Register!$G$11:$G$510,MATCH($H202,Register!$J$11:$J$510,0))))</f>
        <v/>
      </c>
      <c r="H202" s="28" t="str">
        <f aca="false">IF(196&gt;COUNT(Register!$J$11:$J$510),"",SMALL(Register!$J$11:$J$510,196))</f>
        <v/>
      </c>
    </row>
    <row r="203" customFormat="false" ht="15" hidden="false" customHeight="false" outlineLevel="0" collapsed="false">
      <c r="A203" s="25" t="str">
        <f aca="false">IF($H203="","",INDEX(Register!$A$11:$A$510,MATCH($H203,Register!$J$11:$J$510,0))&amp;"")</f>
        <v/>
      </c>
      <c r="B203" s="25" t="str">
        <f aca="false">IF($H203="","",INDEX(Register!$B$11:$B$510,MATCH($H203,Register!$J$11:$J$510,0))&amp;"")</f>
        <v/>
      </c>
      <c r="C203" s="25" t="str">
        <f aca="false">IF($H203="","",INDEX(Register!$C$11:$C$510,MATCH($H203,Register!$J$11:$J$510,0))&amp;"")</f>
        <v/>
      </c>
      <c r="D203" s="26" t="str">
        <f aca="false">IF($H203="","",IF(ISNUMBER(INDEX(Register!$D$11:$D$510,MATCH($H203,Register!$J$11:$J$510,0))),INDEX(Register!$D$11:$D$510,MATCH($H203,Register!$J$11:$J$510,0)),INDEX(Register!$D$11:$D$510,MATCH($H203,Register!$J$11:$J$510,0))&amp;""))</f>
        <v/>
      </c>
      <c r="E203" s="25" t="str">
        <f aca="false">IF($H203="","",IF(ISNUMBER(INDEX(Register!$E$11:$E$510,MATCH($H203,Register!$J$11:$J$510,0))),INDEX(Register!$E$11:$E$510,MATCH($H203,Register!$J$11:$J$510,0))&amp;" mo",INDEX(Register!$E$11:$E$510,MATCH($H203,Register!$J$11:$J$510,0))&amp;""))</f>
        <v/>
      </c>
      <c r="F203" s="26" t="str">
        <f aca="false">IF($H203="","",INDEX(Register!$F$11:$F$510,MATCH($H203,Register!$J$11:$J$510,0)))</f>
        <v/>
      </c>
      <c r="G203" s="27" t="str">
        <f aca="false">IF($H203="","",IF(INDEX(Register!$G$11:$G$510,MATCH($H203,Register!$J$11:$J$510,0))="Check details","Check details: "&amp;INDEX(Register!$I$11:$I$510,MATCH($H203,Register!$J$11:$J$510,0)),INDEX(Register!$G$11:$G$510,MATCH($H203,Register!$J$11:$J$510,0))))</f>
        <v/>
      </c>
      <c r="H203" s="28" t="str">
        <f aca="false">IF(197&gt;COUNT(Register!$J$11:$J$510),"",SMALL(Register!$J$11:$J$510,197))</f>
        <v/>
      </c>
    </row>
    <row r="204" customFormat="false" ht="15" hidden="false" customHeight="false" outlineLevel="0" collapsed="false">
      <c r="A204" s="25" t="str">
        <f aca="false">IF($H204="","",INDEX(Register!$A$11:$A$510,MATCH($H204,Register!$J$11:$J$510,0))&amp;"")</f>
        <v/>
      </c>
      <c r="B204" s="25" t="str">
        <f aca="false">IF($H204="","",INDEX(Register!$B$11:$B$510,MATCH($H204,Register!$J$11:$J$510,0))&amp;"")</f>
        <v/>
      </c>
      <c r="C204" s="25" t="str">
        <f aca="false">IF($H204="","",INDEX(Register!$C$11:$C$510,MATCH($H204,Register!$J$11:$J$510,0))&amp;"")</f>
        <v/>
      </c>
      <c r="D204" s="26" t="str">
        <f aca="false">IF($H204="","",IF(ISNUMBER(INDEX(Register!$D$11:$D$510,MATCH($H204,Register!$J$11:$J$510,0))),INDEX(Register!$D$11:$D$510,MATCH($H204,Register!$J$11:$J$510,0)),INDEX(Register!$D$11:$D$510,MATCH($H204,Register!$J$11:$J$510,0))&amp;""))</f>
        <v/>
      </c>
      <c r="E204" s="25" t="str">
        <f aca="false">IF($H204="","",IF(ISNUMBER(INDEX(Register!$E$11:$E$510,MATCH($H204,Register!$J$11:$J$510,0))),INDEX(Register!$E$11:$E$510,MATCH($H204,Register!$J$11:$J$510,0))&amp;" mo",INDEX(Register!$E$11:$E$510,MATCH($H204,Register!$J$11:$J$510,0))&amp;""))</f>
        <v/>
      </c>
      <c r="F204" s="26" t="str">
        <f aca="false">IF($H204="","",INDEX(Register!$F$11:$F$510,MATCH($H204,Register!$J$11:$J$510,0)))</f>
        <v/>
      </c>
      <c r="G204" s="27" t="str">
        <f aca="false">IF($H204="","",IF(INDEX(Register!$G$11:$G$510,MATCH($H204,Register!$J$11:$J$510,0))="Check details","Check details: "&amp;INDEX(Register!$I$11:$I$510,MATCH($H204,Register!$J$11:$J$510,0)),INDEX(Register!$G$11:$G$510,MATCH($H204,Register!$J$11:$J$510,0))))</f>
        <v/>
      </c>
      <c r="H204" s="28" t="str">
        <f aca="false">IF(198&gt;COUNT(Register!$J$11:$J$510),"",SMALL(Register!$J$11:$J$510,198))</f>
        <v/>
      </c>
    </row>
    <row r="205" customFormat="false" ht="15" hidden="false" customHeight="false" outlineLevel="0" collapsed="false">
      <c r="A205" s="25" t="str">
        <f aca="false">IF($H205="","",INDEX(Register!$A$11:$A$510,MATCH($H205,Register!$J$11:$J$510,0))&amp;"")</f>
        <v/>
      </c>
      <c r="B205" s="25" t="str">
        <f aca="false">IF($H205="","",INDEX(Register!$B$11:$B$510,MATCH($H205,Register!$J$11:$J$510,0))&amp;"")</f>
        <v/>
      </c>
      <c r="C205" s="25" t="str">
        <f aca="false">IF($H205="","",INDEX(Register!$C$11:$C$510,MATCH($H205,Register!$J$11:$J$510,0))&amp;"")</f>
        <v/>
      </c>
      <c r="D205" s="26" t="str">
        <f aca="false">IF($H205="","",IF(ISNUMBER(INDEX(Register!$D$11:$D$510,MATCH($H205,Register!$J$11:$J$510,0))),INDEX(Register!$D$11:$D$510,MATCH($H205,Register!$J$11:$J$510,0)),INDEX(Register!$D$11:$D$510,MATCH($H205,Register!$J$11:$J$510,0))&amp;""))</f>
        <v/>
      </c>
      <c r="E205" s="25" t="str">
        <f aca="false">IF($H205="","",IF(ISNUMBER(INDEX(Register!$E$11:$E$510,MATCH($H205,Register!$J$11:$J$510,0))),INDEX(Register!$E$11:$E$510,MATCH($H205,Register!$J$11:$J$510,0))&amp;" mo",INDEX(Register!$E$11:$E$510,MATCH($H205,Register!$J$11:$J$510,0))&amp;""))</f>
        <v/>
      </c>
      <c r="F205" s="26" t="str">
        <f aca="false">IF($H205="","",INDEX(Register!$F$11:$F$510,MATCH($H205,Register!$J$11:$J$510,0)))</f>
        <v/>
      </c>
      <c r="G205" s="27" t="str">
        <f aca="false">IF($H205="","",IF(INDEX(Register!$G$11:$G$510,MATCH($H205,Register!$J$11:$J$510,0))="Check details","Check details: "&amp;INDEX(Register!$I$11:$I$510,MATCH($H205,Register!$J$11:$J$510,0)),INDEX(Register!$G$11:$G$510,MATCH($H205,Register!$J$11:$J$510,0))))</f>
        <v/>
      </c>
      <c r="H205" s="28" t="str">
        <f aca="false">IF(199&gt;COUNT(Register!$J$11:$J$510),"",SMALL(Register!$J$11:$J$510,199))</f>
        <v/>
      </c>
    </row>
    <row r="206" customFormat="false" ht="15" hidden="false" customHeight="false" outlineLevel="0" collapsed="false">
      <c r="A206" s="25" t="str">
        <f aca="false">IF($H206="","",INDEX(Register!$A$11:$A$510,MATCH($H206,Register!$J$11:$J$510,0))&amp;"")</f>
        <v/>
      </c>
      <c r="B206" s="25" t="str">
        <f aca="false">IF($H206="","",INDEX(Register!$B$11:$B$510,MATCH($H206,Register!$J$11:$J$510,0))&amp;"")</f>
        <v/>
      </c>
      <c r="C206" s="25" t="str">
        <f aca="false">IF($H206="","",INDEX(Register!$C$11:$C$510,MATCH($H206,Register!$J$11:$J$510,0))&amp;"")</f>
        <v/>
      </c>
      <c r="D206" s="26" t="str">
        <f aca="false">IF($H206="","",IF(ISNUMBER(INDEX(Register!$D$11:$D$510,MATCH($H206,Register!$J$11:$J$510,0))),INDEX(Register!$D$11:$D$510,MATCH($H206,Register!$J$11:$J$510,0)),INDEX(Register!$D$11:$D$510,MATCH($H206,Register!$J$11:$J$510,0))&amp;""))</f>
        <v/>
      </c>
      <c r="E206" s="25" t="str">
        <f aca="false">IF($H206="","",IF(ISNUMBER(INDEX(Register!$E$11:$E$510,MATCH($H206,Register!$J$11:$J$510,0))),INDEX(Register!$E$11:$E$510,MATCH($H206,Register!$J$11:$J$510,0))&amp;" mo",INDEX(Register!$E$11:$E$510,MATCH($H206,Register!$J$11:$J$510,0))&amp;""))</f>
        <v/>
      </c>
      <c r="F206" s="26" t="str">
        <f aca="false">IF($H206="","",INDEX(Register!$F$11:$F$510,MATCH($H206,Register!$J$11:$J$510,0)))</f>
        <v/>
      </c>
      <c r="G206" s="27" t="str">
        <f aca="false">IF($H206="","",IF(INDEX(Register!$G$11:$G$510,MATCH($H206,Register!$J$11:$J$510,0))="Check details","Check details: "&amp;INDEX(Register!$I$11:$I$510,MATCH($H206,Register!$J$11:$J$510,0)),INDEX(Register!$G$11:$G$510,MATCH($H206,Register!$J$11:$J$510,0))))</f>
        <v/>
      </c>
      <c r="H206" s="28" t="str">
        <f aca="false">IF(200&gt;COUNT(Register!$J$11:$J$510),"",SMALL(Register!$J$11:$J$510,200))</f>
        <v/>
      </c>
    </row>
    <row r="207" customFormat="false" ht="15" hidden="false" customHeight="false" outlineLevel="0" collapsed="false">
      <c r="A207" s="25" t="str">
        <f aca="false">IF($H207="","",INDEX(Register!$A$11:$A$510,MATCH($H207,Register!$J$11:$J$510,0))&amp;"")</f>
        <v/>
      </c>
      <c r="B207" s="25" t="str">
        <f aca="false">IF($H207="","",INDEX(Register!$B$11:$B$510,MATCH($H207,Register!$J$11:$J$510,0))&amp;"")</f>
        <v/>
      </c>
      <c r="C207" s="25" t="str">
        <f aca="false">IF($H207="","",INDEX(Register!$C$11:$C$510,MATCH($H207,Register!$J$11:$J$510,0))&amp;"")</f>
        <v/>
      </c>
      <c r="D207" s="26" t="str">
        <f aca="false">IF($H207="","",IF(ISNUMBER(INDEX(Register!$D$11:$D$510,MATCH($H207,Register!$J$11:$J$510,0))),INDEX(Register!$D$11:$D$510,MATCH($H207,Register!$J$11:$J$510,0)),INDEX(Register!$D$11:$D$510,MATCH($H207,Register!$J$11:$J$510,0))&amp;""))</f>
        <v/>
      </c>
      <c r="E207" s="25" t="str">
        <f aca="false">IF($H207="","",IF(ISNUMBER(INDEX(Register!$E$11:$E$510,MATCH($H207,Register!$J$11:$J$510,0))),INDEX(Register!$E$11:$E$510,MATCH($H207,Register!$J$11:$J$510,0))&amp;" mo",INDEX(Register!$E$11:$E$510,MATCH($H207,Register!$J$11:$J$510,0))&amp;""))</f>
        <v/>
      </c>
      <c r="F207" s="26" t="str">
        <f aca="false">IF($H207="","",INDEX(Register!$F$11:$F$510,MATCH($H207,Register!$J$11:$J$510,0)))</f>
        <v/>
      </c>
      <c r="G207" s="27" t="str">
        <f aca="false">IF($H207="","",IF(INDEX(Register!$G$11:$G$510,MATCH($H207,Register!$J$11:$J$510,0))="Check details","Check details: "&amp;INDEX(Register!$I$11:$I$510,MATCH($H207,Register!$J$11:$J$510,0)),INDEX(Register!$G$11:$G$510,MATCH($H207,Register!$J$11:$J$510,0))))</f>
        <v/>
      </c>
      <c r="H207" s="28" t="str">
        <f aca="false">IF(201&gt;COUNT(Register!$J$11:$J$510),"",SMALL(Register!$J$11:$J$510,201))</f>
        <v/>
      </c>
    </row>
    <row r="208" customFormat="false" ht="15" hidden="false" customHeight="false" outlineLevel="0" collapsed="false">
      <c r="A208" s="25" t="str">
        <f aca="false">IF($H208="","",INDEX(Register!$A$11:$A$510,MATCH($H208,Register!$J$11:$J$510,0))&amp;"")</f>
        <v/>
      </c>
      <c r="B208" s="25" t="str">
        <f aca="false">IF($H208="","",INDEX(Register!$B$11:$B$510,MATCH($H208,Register!$J$11:$J$510,0))&amp;"")</f>
        <v/>
      </c>
      <c r="C208" s="25" t="str">
        <f aca="false">IF($H208="","",INDEX(Register!$C$11:$C$510,MATCH($H208,Register!$J$11:$J$510,0))&amp;"")</f>
        <v/>
      </c>
      <c r="D208" s="26" t="str">
        <f aca="false">IF($H208="","",IF(ISNUMBER(INDEX(Register!$D$11:$D$510,MATCH($H208,Register!$J$11:$J$510,0))),INDEX(Register!$D$11:$D$510,MATCH($H208,Register!$J$11:$J$510,0)),INDEX(Register!$D$11:$D$510,MATCH($H208,Register!$J$11:$J$510,0))&amp;""))</f>
        <v/>
      </c>
      <c r="E208" s="25" t="str">
        <f aca="false">IF($H208="","",IF(ISNUMBER(INDEX(Register!$E$11:$E$510,MATCH($H208,Register!$J$11:$J$510,0))),INDEX(Register!$E$11:$E$510,MATCH($H208,Register!$J$11:$J$510,0))&amp;" mo",INDEX(Register!$E$11:$E$510,MATCH($H208,Register!$J$11:$J$510,0))&amp;""))</f>
        <v/>
      </c>
      <c r="F208" s="26" t="str">
        <f aca="false">IF($H208="","",INDEX(Register!$F$11:$F$510,MATCH($H208,Register!$J$11:$J$510,0)))</f>
        <v/>
      </c>
      <c r="G208" s="27" t="str">
        <f aca="false">IF($H208="","",IF(INDEX(Register!$G$11:$G$510,MATCH($H208,Register!$J$11:$J$510,0))="Check details","Check details: "&amp;INDEX(Register!$I$11:$I$510,MATCH($H208,Register!$J$11:$J$510,0)),INDEX(Register!$G$11:$G$510,MATCH($H208,Register!$J$11:$J$510,0))))</f>
        <v/>
      </c>
      <c r="H208" s="28" t="str">
        <f aca="false">IF(202&gt;COUNT(Register!$J$11:$J$510),"",SMALL(Register!$J$11:$J$510,202))</f>
        <v/>
      </c>
    </row>
    <row r="209" customFormat="false" ht="15" hidden="false" customHeight="false" outlineLevel="0" collapsed="false">
      <c r="A209" s="25" t="str">
        <f aca="false">IF($H209="","",INDEX(Register!$A$11:$A$510,MATCH($H209,Register!$J$11:$J$510,0))&amp;"")</f>
        <v/>
      </c>
      <c r="B209" s="25" t="str">
        <f aca="false">IF($H209="","",INDEX(Register!$B$11:$B$510,MATCH($H209,Register!$J$11:$J$510,0))&amp;"")</f>
        <v/>
      </c>
      <c r="C209" s="25" t="str">
        <f aca="false">IF($H209="","",INDEX(Register!$C$11:$C$510,MATCH($H209,Register!$J$11:$J$510,0))&amp;"")</f>
        <v/>
      </c>
      <c r="D209" s="26" t="str">
        <f aca="false">IF($H209="","",IF(ISNUMBER(INDEX(Register!$D$11:$D$510,MATCH($H209,Register!$J$11:$J$510,0))),INDEX(Register!$D$11:$D$510,MATCH($H209,Register!$J$11:$J$510,0)),INDEX(Register!$D$11:$D$510,MATCH($H209,Register!$J$11:$J$510,0))&amp;""))</f>
        <v/>
      </c>
      <c r="E209" s="25" t="str">
        <f aca="false">IF($H209="","",IF(ISNUMBER(INDEX(Register!$E$11:$E$510,MATCH($H209,Register!$J$11:$J$510,0))),INDEX(Register!$E$11:$E$510,MATCH($H209,Register!$J$11:$J$510,0))&amp;" mo",INDEX(Register!$E$11:$E$510,MATCH($H209,Register!$J$11:$J$510,0))&amp;""))</f>
        <v/>
      </c>
      <c r="F209" s="26" t="str">
        <f aca="false">IF($H209="","",INDEX(Register!$F$11:$F$510,MATCH($H209,Register!$J$11:$J$510,0)))</f>
        <v/>
      </c>
      <c r="G209" s="27" t="str">
        <f aca="false">IF($H209="","",IF(INDEX(Register!$G$11:$G$510,MATCH($H209,Register!$J$11:$J$510,0))="Check details","Check details: "&amp;INDEX(Register!$I$11:$I$510,MATCH($H209,Register!$J$11:$J$510,0)),INDEX(Register!$G$11:$G$510,MATCH($H209,Register!$J$11:$J$510,0))))</f>
        <v/>
      </c>
      <c r="H209" s="28" t="str">
        <f aca="false">IF(203&gt;COUNT(Register!$J$11:$J$510),"",SMALL(Register!$J$11:$J$510,203))</f>
        <v/>
      </c>
    </row>
    <row r="210" customFormat="false" ht="15" hidden="false" customHeight="false" outlineLevel="0" collapsed="false">
      <c r="A210" s="25" t="str">
        <f aca="false">IF($H210="","",INDEX(Register!$A$11:$A$510,MATCH($H210,Register!$J$11:$J$510,0))&amp;"")</f>
        <v/>
      </c>
      <c r="B210" s="25" t="str">
        <f aca="false">IF($H210="","",INDEX(Register!$B$11:$B$510,MATCH($H210,Register!$J$11:$J$510,0))&amp;"")</f>
        <v/>
      </c>
      <c r="C210" s="25" t="str">
        <f aca="false">IF($H210="","",INDEX(Register!$C$11:$C$510,MATCH($H210,Register!$J$11:$J$510,0))&amp;"")</f>
        <v/>
      </c>
      <c r="D210" s="26" t="str">
        <f aca="false">IF($H210="","",IF(ISNUMBER(INDEX(Register!$D$11:$D$510,MATCH($H210,Register!$J$11:$J$510,0))),INDEX(Register!$D$11:$D$510,MATCH($H210,Register!$J$11:$J$510,0)),INDEX(Register!$D$11:$D$510,MATCH($H210,Register!$J$11:$J$510,0))&amp;""))</f>
        <v/>
      </c>
      <c r="E210" s="25" t="str">
        <f aca="false">IF($H210="","",IF(ISNUMBER(INDEX(Register!$E$11:$E$510,MATCH($H210,Register!$J$11:$J$510,0))),INDEX(Register!$E$11:$E$510,MATCH($H210,Register!$J$11:$J$510,0))&amp;" mo",INDEX(Register!$E$11:$E$510,MATCH($H210,Register!$J$11:$J$510,0))&amp;""))</f>
        <v/>
      </c>
      <c r="F210" s="26" t="str">
        <f aca="false">IF($H210="","",INDEX(Register!$F$11:$F$510,MATCH($H210,Register!$J$11:$J$510,0)))</f>
        <v/>
      </c>
      <c r="G210" s="27" t="str">
        <f aca="false">IF($H210="","",IF(INDEX(Register!$G$11:$G$510,MATCH($H210,Register!$J$11:$J$510,0))="Check details","Check details: "&amp;INDEX(Register!$I$11:$I$510,MATCH($H210,Register!$J$11:$J$510,0)),INDEX(Register!$G$11:$G$510,MATCH($H210,Register!$J$11:$J$510,0))))</f>
        <v/>
      </c>
      <c r="H210" s="28" t="str">
        <f aca="false">IF(204&gt;COUNT(Register!$J$11:$J$510),"",SMALL(Register!$J$11:$J$510,204))</f>
        <v/>
      </c>
    </row>
    <row r="211" customFormat="false" ht="15" hidden="false" customHeight="false" outlineLevel="0" collapsed="false">
      <c r="A211" s="25" t="str">
        <f aca="false">IF($H211="","",INDEX(Register!$A$11:$A$510,MATCH($H211,Register!$J$11:$J$510,0))&amp;"")</f>
        <v/>
      </c>
      <c r="B211" s="25" t="str">
        <f aca="false">IF($H211="","",INDEX(Register!$B$11:$B$510,MATCH($H211,Register!$J$11:$J$510,0))&amp;"")</f>
        <v/>
      </c>
      <c r="C211" s="25" t="str">
        <f aca="false">IF($H211="","",INDEX(Register!$C$11:$C$510,MATCH($H211,Register!$J$11:$J$510,0))&amp;"")</f>
        <v/>
      </c>
      <c r="D211" s="26" t="str">
        <f aca="false">IF($H211="","",IF(ISNUMBER(INDEX(Register!$D$11:$D$510,MATCH($H211,Register!$J$11:$J$510,0))),INDEX(Register!$D$11:$D$510,MATCH($H211,Register!$J$11:$J$510,0)),INDEX(Register!$D$11:$D$510,MATCH($H211,Register!$J$11:$J$510,0))&amp;""))</f>
        <v/>
      </c>
      <c r="E211" s="25" t="str">
        <f aca="false">IF($H211="","",IF(ISNUMBER(INDEX(Register!$E$11:$E$510,MATCH($H211,Register!$J$11:$J$510,0))),INDEX(Register!$E$11:$E$510,MATCH($H211,Register!$J$11:$J$510,0))&amp;" mo",INDEX(Register!$E$11:$E$510,MATCH($H211,Register!$J$11:$J$510,0))&amp;""))</f>
        <v/>
      </c>
      <c r="F211" s="26" t="str">
        <f aca="false">IF($H211="","",INDEX(Register!$F$11:$F$510,MATCH($H211,Register!$J$11:$J$510,0)))</f>
        <v/>
      </c>
      <c r="G211" s="27" t="str">
        <f aca="false">IF($H211="","",IF(INDEX(Register!$G$11:$G$510,MATCH($H211,Register!$J$11:$J$510,0))="Check details","Check details: "&amp;INDEX(Register!$I$11:$I$510,MATCH($H211,Register!$J$11:$J$510,0)),INDEX(Register!$G$11:$G$510,MATCH($H211,Register!$J$11:$J$510,0))))</f>
        <v/>
      </c>
      <c r="H211" s="28" t="str">
        <f aca="false">IF(205&gt;COUNT(Register!$J$11:$J$510),"",SMALL(Register!$J$11:$J$510,205))</f>
        <v/>
      </c>
    </row>
    <row r="212" customFormat="false" ht="15" hidden="false" customHeight="false" outlineLevel="0" collapsed="false">
      <c r="A212" s="25" t="str">
        <f aca="false">IF($H212="","",INDEX(Register!$A$11:$A$510,MATCH($H212,Register!$J$11:$J$510,0))&amp;"")</f>
        <v/>
      </c>
      <c r="B212" s="25" t="str">
        <f aca="false">IF($H212="","",INDEX(Register!$B$11:$B$510,MATCH($H212,Register!$J$11:$J$510,0))&amp;"")</f>
        <v/>
      </c>
      <c r="C212" s="25" t="str">
        <f aca="false">IF($H212="","",INDEX(Register!$C$11:$C$510,MATCH($H212,Register!$J$11:$J$510,0))&amp;"")</f>
        <v/>
      </c>
      <c r="D212" s="26" t="str">
        <f aca="false">IF($H212="","",IF(ISNUMBER(INDEX(Register!$D$11:$D$510,MATCH($H212,Register!$J$11:$J$510,0))),INDEX(Register!$D$11:$D$510,MATCH($H212,Register!$J$11:$J$510,0)),INDEX(Register!$D$11:$D$510,MATCH($H212,Register!$J$11:$J$510,0))&amp;""))</f>
        <v/>
      </c>
      <c r="E212" s="25" t="str">
        <f aca="false">IF($H212="","",IF(ISNUMBER(INDEX(Register!$E$11:$E$510,MATCH($H212,Register!$J$11:$J$510,0))),INDEX(Register!$E$11:$E$510,MATCH($H212,Register!$J$11:$J$510,0))&amp;" mo",INDEX(Register!$E$11:$E$510,MATCH($H212,Register!$J$11:$J$510,0))&amp;""))</f>
        <v/>
      </c>
      <c r="F212" s="26" t="str">
        <f aca="false">IF($H212="","",INDEX(Register!$F$11:$F$510,MATCH($H212,Register!$J$11:$J$510,0)))</f>
        <v/>
      </c>
      <c r="G212" s="27" t="str">
        <f aca="false">IF($H212="","",IF(INDEX(Register!$G$11:$G$510,MATCH($H212,Register!$J$11:$J$510,0))="Check details","Check details: "&amp;INDEX(Register!$I$11:$I$510,MATCH($H212,Register!$J$11:$J$510,0)),INDEX(Register!$G$11:$G$510,MATCH($H212,Register!$J$11:$J$510,0))))</f>
        <v/>
      </c>
      <c r="H212" s="28" t="str">
        <f aca="false">IF(206&gt;COUNT(Register!$J$11:$J$510),"",SMALL(Register!$J$11:$J$510,206))</f>
        <v/>
      </c>
    </row>
    <row r="213" customFormat="false" ht="15" hidden="false" customHeight="false" outlineLevel="0" collapsed="false">
      <c r="A213" s="25" t="str">
        <f aca="false">IF($H213="","",INDEX(Register!$A$11:$A$510,MATCH($H213,Register!$J$11:$J$510,0))&amp;"")</f>
        <v/>
      </c>
      <c r="B213" s="25" t="str">
        <f aca="false">IF($H213="","",INDEX(Register!$B$11:$B$510,MATCH($H213,Register!$J$11:$J$510,0))&amp;"")</f>
        <v/>
      </c>
      <c r="C213" s="25" t="str">
        <f aca="false">IF($H213="","",INDEX(Register!$C$11:$C$510,MATCH($H213,Register!$J$11:$J$510,0))&amp;"")</f>
        <v/>
      </c>
      <c r="D213" s="26" t="str">
        <f aca="false">IF($H213="","",IF(ISNUMBER(INDEX(Register!$D$11:$D$510,MATCH($H213,Register!$J$11:$J$510,0))),INDEX(Register!$D$11:$D$510,MATCH($H213,Register!$J$11:$J$510,0)),INDEX(Register!$D$11:$D$510,MATCH($H213,Register!$J$11:$J$510,0))&amp;""))</f>
        <v/>
      </c>
      <c r="E213" s="25" t="str">
        <f aca="false">IF($H213="","",IF(ISNUMBER(INDEX(Register!$E$11:$E$510,MATCH($H213,Register!$J$11:$J$510,0))),INDEX(Register!$E$11:$E$510,MATCH($H213,Register!$J$11:$J$510,0))&amp;" mo",INDEX(Register!$E$11:$E$510,MATCH($H213,Register!$J$11:$J$510,0))&amp;""))</f>
        <v/>
      </c>
      <c r="F213" s="26" t="str">
        <f aca="false">IF($H213="","",INDEX(Register!$F$11:$F$510,MATCH($H213,Register!$J$11:$J$510,0)))</f>
        <v/>
      </c>
      <c r="G213" s="27" t="str">
        <f aca="false">IF($H213="","",IF(INDEX(Register!$G$11:$G$510,MATCH($H213,Register!$J$11:$J$510,0))="Check details","Check details: "&amp;INDEX(Register!$I$11:$I$510,MATCH($H213,Register!$J$11:$J$510,0)),INDEX(Register!$G$11:$G$510,MATCH($H213,Register!$J$11:$J$510,0))))</f>
        <v/>
      </c>
      <c r="H213" s="28" t="str">
        <f aca="false">IF(207&gt;COUNT(Register!$J$11:$J$510),"",SMALL(Register!$J$11:$J$510,207))</f>
        <v/>
      </c>
    </row>
    <row r="214" customFormat="false" ht="15" hidden="false" customHeight="false" outlineLevel="0" collapsed="false">
      <c r="A214" s="25" t="str">
        <f aca="false">IF($H214="","",INDEX(Register!$A$11:$A$510,MATCH($H214,Register!$J$11:$J$510,0))&amp;"")</f>
        <v/>
      </c>
      <c r="B214" s="25" t="str">
        <f aca="false">IF($H214="","",INDEX(Register!$B$11:$B$510,MATCH($H214,Register!$J$11:$J$510,0))&amp;"")</f>
        <v/>
      </c>
      <c r="C214" s="25" t="str">
        <f aca="false">IF($H214="","",INDEX(Register!$C$11:$C$510,MATCH($H214,Register!$J$11:$J$510,0))&amp;"")</f>
        <v/>
      </c>
      <c r="D214" s="26" t="str">
        <f aca="false">IF($H214="","",IF(ISNUMBER(INDEX(Register!$D$11:$D$510,MATCH($H214,Register!$J$11:$J$510,0))),INDEX(Register!$D$11:$D$510,MATCH($H214,Register!$J$11:$J$510,0)),INDEX(Register!$D$11:$D$510,MATCH($H214,Register!$J$11:$J$510,0))&amp;""))</f>
        <v/>
      </c>
      <c r="E214" s="25" t="str">
        <f aca="false">IF($H214="","",IF(ISNUMBER(INDEX(Register!$E$11:$E$510,MATCH($H214,Register!$J$11:$J$510,0))),INDEX(Register!$E$11:$E$510,MATCH($H214,Register!$J$11:$J$510,0))&amp;" mo",INDEX(Register!$E$11:$E$510,MATCH($H214,Register!$J$11:$J$510,0))&amp;""))</f>
        <v/>
      </c>
      <c r="F214" s="26" t="str">
        <f aca="false">IF($H214="","",INDEX(Register!$F$11:$F$510,MATCH($H214,Register!$J$11:$J$510,0)))</f>
        <v/>
      </c>
      <c r="G214" s="27" t="str">
        <f aca="false">IF($H214="","",IF(INDEX(Register!$G$11:$G$510,MATCH($H214,Register!$J$11:$J$510,0))="Check details","Check details: "&amp;INDEX(Register!$I$11:$I$510,MATCH($H214,Register!$J$11:$J$510,0)),INDEX(Register!$G$11:$G$510,MATCH($H214,Register!$J$11:$J$510,0))))</f>
        <v/>
      </c>
      <c r="H214" s="28" t="str">
        <f aca="false">IF(208&gt;COUNT(Register!$J$11:$J$510),"",SMALL(Register!$J$11:$J$510,208))</f>
        <v/>
      </c>
    </row>
    <row r="215" customFormat="false" ht="15" hidden="false" customHeight="false" outlineLevel="0" collapsed="false">
      <c r="A215" s="25" t="str">
        <f aca="false">IF($H215="","",INDEX(Register!$A$11:$A$510,MATCH($H215,Register!$J$11:$J$510,0))&amp;"")</f>
        <v/>
      </c>
      <c r="B215" s="25" t="str">
        <f aca="false">IF($H215="","",INDEX(Register!$B$11:$B$510,MATCH($H215,Register!$J$11:$J$510,0))&amp;"")</f>
        <v/>
      </c>
      <c r="C215" s="25" t="str">
        <f aca="false">IF($H215="","",INDEX(Register!$C$11:$C$510,MATCH($H215,Register!$J$11:$J$510,0))&amp;"")</f>
        <v/>
      </c>
      <c r="D215" s="26" t="str">
        <f aca="false">IF($H215="","",IF(ISNUMBER(INDEX(Register!$D$11:$D$510,MATCH($H215,Register!$J$11:$J$510,0))),INDEX(Register!$D$11:$D$510,MATCH($H215,Register!$J$11:$J$510,0)),INDEX(Register!$D$11:$D$510,MATCH($H215,Register!$J$11:$J$510,0))&amp;""))</f>
        <v/>
      </c>
      <c r="E215" s="25" t="str">
        <f aca="false">IF($H215="","",IF(ISNUMBER(INDEX(Register!$E$11:$E$510,MATCH($H215,Register!$J$11:$J$510,0))),INDEX(Register!$E$11:$E$510,MATCH($H215,Register!$J$11:$J$510,0))&amp;" mo",INDEX(Register!$E$11:$E$510,MATCH($H215,Register!$J$11:$J$510,0))&amp;""))</f>
        <v/>
      </c>
      <c r="F215" s="26" t="str">
        <f aca="false">IF($H215="","",INDEX(Register!$F$11:$F$510,MATCH($H215,Register!$J$11:$J$510,0)))</f>
        <v/>
      </c>
      <c r="G215" s="27" t="str">
        <f aca="false">IF($H215="","",IF(INDEX(Register!$G$11:$G$510,MATCH($H215,Register!$J$11:$J$510,0))="Check details","Check details: "&amp;INDEX(Register!$I$11:$I$510,MATCH($H215,Register!$J$11:$J$510,0)),INDEX(Register!$G$11:$G$510,MATCH($H215,Register!$J$11:$J$510,0))))</f>
        <v/>
      </c>
      <c r="H215" s="28" t="str">
        <f aca="false">IF(209&gt;COUNT(Register!$J$11:$J$510),"",SMALL(Register!$J$11:$J$510,209))</f>
        <v/>
      </c>
    </row>
    <row r="216" customFormat="false" ht="15" hidden="false" customHeight="false" outlineLevel="0" collapsed="false">
      <c r="A216" s="25" t="str">
        <f aca="false">IF($H216="","",INDEX(Register!$A$11:$A$510,MATCH($H216,Register!$J$11:$J$510,0))&amp;"")</f>
        <v/>
      </c>
      <c r="B216" s="25" t="str">
        <f aca="false">IF($H216="","",INDEX(Register!$B$11:$B$510,MATCH($H216,Register!$J$11:$J$510,0))&amp;"")</f>
        <v/>
      </c>
      <c r="C216" s="25" t="str">
        <f aca="false">IF($H216="","",INDEX(Register!$C$11:$C$510,MATCH($H216,Register!$J$11:$J$510,0))&amp;"")</f>
        <v/>
      </c>
      <c r="D216" s="26" t="str">
        <f aca="false">IF($H216="","",IF(ISNUMBER(INDEX(Register!$D$11:$D$510,MATCH($H216,Register!$J$11:$J$510,0))),INDEX(Register!$D$11:$D$510,MATCH($H216,Register!$J$11:$J$510,0)),INDEX(Register!$D$11:$D$510,MATCH($H216,Register!$J$11:$J$510,0))&amp;""))</f>
        <v/>
      </c>
      <c r="E216" s="25" t="str">
        <f aca="false">IF($H216="","",IF(ISNUMBER(INDEX(Register!$E$11:$E$510,MATCH($H216,Register!$J$11:$J$510,0))),INDEX(Register!$E$11:$E$510,MATCH($H216,Register!$J$11:$J$510,0))&amp;" mo",INDEX(Register!$E$11:$E$510,MATCH($H216,Register!$J$11:$J$510,0))&amp;""))</f>
        <v/>
      </c>
      <c r="F216" s="26" t="str">
        <f aca="false">IF($H216="","",INDEX(Register!$F$11:$F$510,MATCH($H216,Register!$J$11:$J$510,0)))</f>
        <v/>
      </c>
      <c r="G216" s="27" t="str">
        <f aca="false">IF($H216="","",IF(INDEX(Register!$G$11:$G$510,MATCH($H216,Register!$J$11:$J$510,0))="Check details","Check details: "&amp;INDEX(Register!$I$11:$I$510,MATCH($H216,Register!$J$11:$J$510,0)),INDEX(Register!$G$11:$G$510,MATCH($H216,Register!$J$11:$J$510,0))))</f>
        <v/>
      </c>
      <c r="H216" s="28" t="str">
        <f aca="false">IF(210&gt;COUNT(Register!$J$11:$J$510),"",SMALL(Register!$J$11:$J$510,210))</f>
        <v/>
      </c>
    </row>
    <row r="217" customFormat="false" ht="15" hidden="false" customHeight="false" outlineLevel="0" collapsed="false">
      <c r="A217" s="25" t="str">
        <f aca="false">IF($H217="","",INDEX(Register!$A$11:$A$510,MATCH($H217,Register!$J$11:$J$510,0))&amp;"")</f>
        <v/>
      </c>
      <c r="B217" s="25" t="str">
        <f aca="false">IF($H217="","",INDEX(Register!$B$11:$B$510,MATCH($H217,Register!$J$11:$J$510,0))&amp;"")</f>
        <v/>
      </c>
      <c r="C217" s="25" t="str">
        <f aca="false">IF($H217="","",INDEX(Register!$C$11:$C$510,MATCH($H217,Register!$J$11:$J$510,0))&amp;"")</f>
        <v/>
      </c>
      <c r="D217" s="26" t="str">
        <f aca="false">IF($H217="","",IF(ISNUMBER(INDEX(Register!$D$11:$D$510,MATCH($H217,Register!$J$11:$J$510,0))),INDEX(Register!$D$11:$D$510,MATCH($H217,Register!$J$11:$J$510,0)),INDEX(Register!$D$11:$D$510,MATCH($H217,Register!$J$11:$J$510,0))&amp;""))</f>
        <v/>
      </c>
      <c r="E217" s="25" t="str">
        <f aca="false">IF($H217="","",IF(ISNUMBER(INDEX(Register!$E$11:$E$510,MATCH($H217,Register!$J$11:$J$510,0))),INDEX(Register!$E$11:$E$510,MATCH($H217,Register!$J$11:$J$510,0))&amp;" mo",INDEX(Register!$E$11:$E$510,MATCH($H217,Register!$J$11:$J$510,0))&amp;""))</f>
        <v/>
      </c>
      <c r="F217" s="26" t="str">
        <f aca="false">IF($H217="","",INDEX(Register!$F$11:$F$510,MATCH($H217,Register!$J$11:$J$510,0)))</f>
        <v/>
      </c>
      <c r="G217" s="27" t="str">
        <f aca="false">IF($H217="","",IF(INDEX(Register!$G$11:$G$510,MATCH($H217,Register!$J$11:$J$510,0))="Check details","Check details: "&amp;INDEX(Register!$I$11:$I$510,MATCH($H217,Register!$J$11:$J$510,0)),INDEX(Register!$G$11:$G$510,MATCH($H217,Register!$J$11:$J$510,0))))</f>
        <v/>
      </c>
      <c r="H217" s="28" t="str">
        <f aca="false">IF(211&gt;COUNT(Register!$J$11:$J$510),"",SMALL(Register!$J$11:$J$510,211))</f>
        <v/>
      </c>
    </row>
    <row r="218" customFormat="false" ht="15" hidden="false" customHeight="false" outlineLevel="0" collapsed="false">
      <c r="A218" s="25" t="str">
        <f aca="false">IF($H218="","",INDEX(Register!$A$11:$A$510,MATCH($H218,Register!$J$11:$J$510,0))&amp;"")</f>
        <v/>
      </c>
      <c r="B218" s="25" t="str">
        <f aca="false">IF($H218="","",INDEX(Register!$B$11:$B$510,MATCH($H218,Register!$J$11:$J$510,0))&amp;"")</f>
        <v/>
      </c>
      <c r="C218" s="25" t="str">
        <f aca="false">IF($H218="","",INDEX(Register!$C$11:$C$510,MATCH($H218,Register!$J$11:$J$510,0))&amp;"")</f>
        <v/>
      </c>
      <c r="D218" s="26" t="str">
        <f aca="false">IF($H218="","",IF(ISNUMBER(INDEX(Register!$D$11:$D$510,MATCH($H218,Register!$J$11:$J$510,0))),INDEX(Register!$D$11:$D$510,MATCH($H218,Register!$J$11:$J$510,0)),INDEX(Register!$D$11:$D$510,MATCH($H218,Register!$J$11:$J$510,0))&amp;""))</f>
        <v/>
      </c>
      <c r="E218" s="25" t="str">
        <f aca="false">IF($H218="","",IF(ISNUMBER(INDEX(Register!$E$11:$E$510,MATCH($H218,Register!$J$11:$J$510,0))),INDEX(Register!$E$11:$E$510,MATCH($H218,Register!$J$11:$J$510,0))&amp;" mo",INDEX(Register!$E$11:$E$510,MATCH($H218,Register!$J$11:$J$510,0))&amp;""))</f>
        <v/>
      </c>
      <c r="F218" s="26" t="str">
        <f aca="false">IF($H218="","",INDEX(Register!$F$11:$F$510,MATCH($H218,Register!$J$11:$J$510,0)))</f>
        <v/>
      </c>
      <c r="G218" s="27" t="str">
        <f aca="false">IF($H218="","",IF(INDEX(Register!$G$11:$G$510,MATCH($H218,Register!$J$11:$J$510,0))="Check details","Check details: "&amp;INDEX(Register!$I$11:$I$510,MATCH($H218,Register!$J$11:$J$510,0)),INDEX(Register!$G$11:$G$510,MATCH($H218,Register!$J$11:$J$510,0))))</f>
        <v/>
      </c>
      <c r="H218" s="28" t="str">
        <f aca="false">IF(212&gt;COUNT(Register!$J$11:$J$510),"",SMALL(Register!$J$11:$J$510,212))</f>
        <v/>
      </c>
    </row>
    <row r="219" customFormat="false" ht="15" hidden="false" customHeight="false" outlineLevel="0" collapsed="false">
      <c r="A219" s="25" t="str">
        <f aca="false">IF($H219="","",INDEX(Register!$A$11:$A$510,MATCH($H219,Register!$J$11:$J$510,0))&amp;"")</f>
        <v/>
      </c>
      <c r="B219" s="25" t="str">
        <f aca="false">IF($H219="","",INDEX(Register!$B$11:$B$510,MATCH($H219,Register!$J$11:$J$510,0))&amp;"")</f>
        <v/>
      </c>
      <c r="C219" s="25" t="str">
        <f aca="false">IF($H219="","",INDEX(Register!$C$11:$C$510,MATCH($H219,Register!$J$11:$J$510,0))&amp;"")</f>
        <v/>
      </c>
      <c r="D219" s="26" t="str">
        <f aca="false">IF($H219="","",IF(ISNUMBER(INDEX(Register!$D$11:$D$510,MATCH($H219,Register!$J$11:$J$510,0))),INDEX(Register!$D$11:$D$510,MATCH($H219,Register!$J$11:$J$510,0)),INDEX(Register!$D$11:$D$510,MATCH($H219,Register!$J$11:$J$510,0))&amp;""))</f>
        <v/>
      </c>
      <c r="E219" s="25" t="str">
        <f aca="false">IF($H219="","",IF(ISNUMBER(INDEX(Register!$E$11:$E$510,MATCH($H219,Register!$J$11:$J$510,0))),INDEX(Register!$E$11:$E$510,MATCH($H219,Register!$J$11:$J$510,0))&amp;" mo",INDEX(Register!$E$11:$E$510,MATCH($H219,Register!$J$11:$J$510,0))&amp;""))</f>
        <v/>
      </c>
      <c r="F219" s="26" t="str">
        <f aca="false">IF($H219="","",INDEX(Register!$F$11:$F$510,MATCH($H219,Register!$J$11:$J$510,0)))</f>
        <v/>
      </c>
      <c r="G219" s="27" t="str">
        <f aca="false">IF($H219="","",IF(INDEX(Register!$G$11:$G$510,MATCH($H219,Register!$J$11:$J$510,0))="Check details","Check details: "&amp;INDEX(Register!$I$11:$I$510,MATCH($H219,Register!$J$11:$J$510,0)),INDEX(Register!$G$11:$G$510,MATCH($H219,Register!$J$11:$J$510,0))))</f>
        <v/>
      </c>
      <c r="H219" s="28" t="str">
        <f aca="false">IF(213&gt;COUNT(Register!$J$11:$J$510),"",SMALL(Register!$J$11:$J$510,213))</f>
        <v/>
      </c>
    </row>
    <row r="220" customFormat="false" ht="15" hidden="false" customHeight="false" outlineLevel="0" collapsed="false">
      <c r="A220" s="25" t="str">
        <f aca="false">IF($H220="","",INDEX(Register!$A$11:$A$510,MATCH($H220,Register!$J$11:$J$510,0))&amp;"")</f>
        <v/>
      </c>
      <c r="B220" s="25" t="str">
        <f aca="false">IF($H220="","",INDEX(Register!$B$11:$B$510,MATCH($H220,Register!$J$11:$J$510,0))&amp;"")</f>
        <v/>
      </c>
      <c r="C220" s="25" t="str">
        <f aca="false">IF($H220="","",INDEX(Register!$C$11:$C$510,MATCH($H220,Register!$J$11:$J$510,0))&amp;"")</f>
        <v/>
      </c>
      <c r="D220" s="26" t="str">
        <f aca="false">IF($H220="","",IF(ISNUMBER(INDEX(Register!$D$11:$D$510,MATCH($H220,Register!$J$11:$J$510,0))),INDEX(Register!$D$11:$D$510,MATCH($H220,Register!$J$11:$J$510,0)),INDEX(Register!$D$11:$D$510,MATCH($H220,Register!$J$11:$J$510,0))&amp;""))</f>
        <v/>
      </c>
      <c r="E220" s="25" t="str">
        <f aca="false">IF($H220="","",IF(ISNUMBER(INDEX(Register!$E$11:$E$510,MATCH($H220,Register!$J$11:$J$510,0))),INDEX(Register!$E$11:$E$510,MATCH($H220,Register!$J$11:$J$510,0))&amp;" mo",INDEX(Register!$E$11:$E$510,MATCH($H220,Register!$J$11:$J$510,0))&amp;""))</f>
        <v/>
      </c>
      <c r="F220" s="26" t="str">
        <f aca="false">IF($H220="","",INDEX(Register!$F$11:$F$510,MATCH($H220,Register!$J$11:$J$510,0)))</f>
        <v/>
      </c>
      <c r="G220" s="27" t="str">
        <f aca="false">IF($H220="","",IF(INDEX(Register!$G$11:$G$510,MATCH($H220,Register!$J$11:$J$510,0))="Check details","Check details: "&amp;INDEX(Register!$I$11:$I$510,MATCH($H220,Register!$J$11:$J$510,0)),INDEX(Register!$G$11:$G$510,MATCH($H220,Register!$J$11:$J$510,0))))</f>
        <v/>
      </c>
      <c r="H220" s="28" t="str">
        <f aca="false">IF(214&gt;COUNT(Register!$J$11:$J$510),"",SMALL(Register!$J$11:$J$510,214))</f>
        <v/>
      </c>
    </row>
    <row r="221" customFormat="false" ht="15" hidden="false" customHeight="false" outlineLevel="0" collapsed="false">
      <c r="A221" s="25" t="str">
        <f aca="false">IF($H221="","",INDEX(Register!$A$11:$A$510,MATCH($H221,Register!$J$11:$J$510,0))&amp;"")</f>
        <v/>
      </c>
      <c r="B221" s="25" t="str">
        <f aca="false">IF($H221="","",INDEX(Register!$B$11:$B$510,MATCH($H221,Register!$J$11:$J$510,0))&amp;"")</f>
        <v/>
      </c>
      <c r="C221" s="25" t="str">
        <f aca="false">IF($H221="","",INDEX(Register!$C$11:$C$510,MATCH($H221,Register!$J$11:$J$510,0))&amp;"")</f>
        <v/>
      </c>
      <c r="D221" s="26" t="str">
        <f aca="false">IF($H221="","",IF(ISNUMBER(INDEX(Register!$D$11:$D$510,MATCH($H221,Register!$J$11:$J$510,0))),INDEX(Register!$D$11:$D$510,MATCH($H221,Register!$J$11:$J$510,0)),INDEX(Register!$D$11:$D$510,MATCH($H221,Register!$J$11:$J$510,0))&amp;""))</f>
        <v/>
      </c>
      <c r="E221" s="25" t="str">
        <f aca="false">IF($H221="","",IF(ISNUMBER(INDEX(Register!$E$11:$E$510,MATCH($H221,Register!$J$11:$J$510,0))),INDEX(Register!$E$11:$E$510,MATCH($H221,Register!$J$11:$J$510,0))&amp;" mo",INDEX(Register!$E$11:$E$510,MATCH($H221,Register!$J$11:$J$510,0))&amp;""))</f>
        <v/>
      </c>
      <c r="F221" s="26" t="str">
        <f aca="false">IF($H221="","",INDEX(Register!$F$11:$F$510,MATCH($H221,Register!$J$11:$J$510,0)))</f>
        <v/>
      </c>
      <c r="G221" s="27" t="str">
        <f aca="false">IF($H221="","",IF(INDEX(Register!$G$11:$G$510,MATCH($H221,Register!$J$11:$J$510,0))="Check details","Check details: "&amp;INDEX(Register!$I$11:$I$510,MATCH($H221,Register!$J$11:$J$510,0)),INDEX(Register!$G$11:$G$510,MATCH($H221,Register!$J$11:$J$510,0))))</f>
        <v/>
      </c>
      <c r="H221" s="28" t="str">
        <f aca="false">IF(215&gt;COUNT(Register!$J$11:$J$510),"",SMALL(Register!$J$11:$J$510,215))</f>
        <v/>
      </c>
    </row>
    <row r="222" customFormat="false" ht="15" hidden="false" customHeight="false" outlineLevel="0" collapsed="false">
      <c r="A222" s="25" t="str">
        <f aca="false">IF($H222="","",INDEX(Register!$A$11:$A$510,MATCH($H222,Register!$J$11:$J$510,0))&amp;"")</f>
        <v/>
      </c>
      <c r="B222" s="25" t="str">
        <f aca="false">IF($H222="","",INDEX(Register!$B$11:$B$510,MATCH($H222,Register!$J$11:$J$510,0))&amp;"")</f>
        <v/>
      </c>
      <c r="C222" s="25" t="str">
        <f aca="false">IF($H222="","",INDEX(Register!$C$11:$C$510,MATCH($H222,Register!$J$11:$J$510,0))&amp;"")</f>
        <v/>
      </c>
      <c r="D222" s="26" t="str">
        <f aca="false">IF($H222="","",IF(ISNUMBER(INDEX(Register!$D$11:$D$510,MATCH($H222,Register!$J$11:$J$510,0))),INDEX(Register!$D$11:$D$510,MATCH($H222,Register!$J$11:$J$510,0)),INDEX(Register!$D$11:$D$510,MATCH($H222,Register!$J$11:$J$510,0))&amp;""))</f>
        <v/>
      </c>
      <c r="E222" s="25" t="str">
        <f aca="false">IF($H222="","",IF(ISNUMBER(INDEX(Register!$E$11:$E$510,MATCH($H222,Register!$J$11:$J$510,0))),INDEX(Register!$E$11:$E$510,MATCH($H222,Register!$J$11:$J$510,0))&amp;" mo",INDEX(Register!$E$11:$E$510,MATCH($H222,Register!$J$11:$J$510,0))&amp;""))</f>
        <v/>
      </c>
      <c r="F222" s="26" t="str">
        <f aca="false">IF($H222="","",INDEX(Register!$F$11:$F$510,MATCH($H222,Register!$J$11:$J$510,0)))</f>
        <v/>
      </c>
      <c r="G222" s="27" t="str">
        <f aca="false">IF($H222="","",IF(INDEX(Register!$G$11:$G$510,MATCH($H222,Register!$J$11:$J$510,0))="Check details","Check details: "&amp;INDEX(Register!$I$11:$I$510,MATCH($H222,Register!$J$11:$J$510,0)),INDEX(Register!$G$11:$G$510,MATCH($H222,Register!$J$11:$J$510,0))))</f>
        <v/>
      </c>
      <c r="H222" s="28" t="str">
        <f aca="false">IF(216&gt;COUNT(Register!$J$11:$J$510),"",SMALL(Register!$J$11:$J$510,216))</f>
        <v/>
      </c>
    </row>
    <row r="223" customFormat="false" ht="15" hidden="false" customHeight="false" outlineLevel="0" collapsed="false">
      <c r="A223" s="25" t="str">
        <f aca="false">IF($H223="","",INDEX(Register!$A$11:$A$510,MATCH($H223,Register!$J$11:$J$510,0))&amp;"")</f>
        <v/>
      </c>
      <c r="B223" s="25" t="str">
        <f aca="false">IF($H223="","",INDEX(Register!$B$11:$B$510,MATCH($H223,Register!$J$11:$J$510,0))&amp;"")</f>
        <v/>
      </c>
      <c r="C223" s="25" t="str">
        <f aca="false">IF($H223="","",INDEX(Register!$C$11:$C$510,MATCH($H223,Register!$J$11:$J$510,0))&amp;"")</f>
        <v/>
      </c>
      <c r="D223" s="26" t="str">
        <f aca="false">IF($H223="","",IF(ISNUMBER(INDEX(Register!$D$11:$D$510,MATCH($H223,Register!$J$11:$J$510,0))),INDEX(Register!$D$11:$D$510,MATCH($H223,Register!$J$11:$J$510,0)),INDEX(Register!$D$11:$D$510,MATCH($H223,Register!$J$11:$J$510,0))&amp;""))</f>
        <v/>
      </c>
      <c r="E223" s="25" t="str">
        <f aca="false">IF($H223="","",IF(ISNUMBER(INDEX(Register!$E$11:$E$510,MATCH($H223,Register!$J$11:$J$510,0))),INDEX(Register!$E$11:$E$510,MATCH($H223,Register!$J$11:$J$510,0))&amp;" mo",INDEX(Register!$E$11:$E$510,MATCH($H223,Register!$J$11:$J$510,0))&amp;""))</f>
        <v/>
      </c>
      <c r="F223" s="26" t="str">
        <f aca="false">IF($H223="","",INDEX(Register!$F$11:$F$510,MATCH($H223,Register!$J$11:$J$510,0)))</f>
        <v/>
      </c>
      <c r="G223" s="27" t="str">
        <f aca="false">IF($H223="","",IF(INDEX(Register!$G$11:$G$510,MATCH($H223,Register!$J$11:$J$510,0))="Check details","Check details: "&amp;INDEX(Register!$I$11:$I$510,MATCH($H223,Register!$J$11:$J$510,0)),INDEX(Register!$G$11:$G$510,MATCH($H223,Register!$J$11:$J$510,0))))</f>
        <v/>
      </c>
      <c r="H223" s="28" t="str">
        <f aca="false">IF(217&gt;COUNT(Register!$J$11:$J$510),"",SMALL(Register!$J$11:$J$510,217))</f>
        <v/>
      </c>
    </row>
    <row r="224" customFormat="false" ht="15" hidden="false" customHeight="false" outlineLevel="0" collapsed="false">
      <c r="A224" s="25" t="str">
        <f aca="false">IF($H224="","",INDEX(Register!$A$11:$A$510,MATCH($H224,Register!$J$11:$J$510,0))&amp;"")</f>
        <v/>
      </c>
      <c r="B224" s="25" t="str">
        <f aca="false">IF($H224="","",INDEX(Register!$B$11:$B$510,MATCH($H224,Register!$J$11:$J$510,0))&amp;"")</f>
        <v/>
      </c>
      <c r="C224" s="25" t="str">
        <f aca="false">IF($H224="","",INDEX(Register!$C$11:$C$510,MATCH($H224,Register!$J$11:$J$510,0))&amp;"")</f>
        <v/>
      </c>
      <c r="D224" s="26" t="str">
        <f aca="false">IF($H224="","",IF(ISNUMBER(INDEX(Register!$D$11:$D$510,MATCH($H224,Register!$J$11:$J$510,0))),INDEX(Register!$D$11:$D$510,MATCH($H224,Register!$J$11:$J$510,0)),INDEX(Register!$D$11:$D$510,MATCH($H224,Register!$J$11:$J$510,0))&amp;""))</f>
        <v/>
      </c>
      <c r="E224" s="25" t="str">
        <f aca="false">IF($H224="","",IF(ISNUMBER(INDEX(Register!$E$11:$E$510,MATCH($H224,Register!$J$11:$J$510,0))),INDEX(Register!$E$11:$E$510,MATCH($H224,Register!$J$11:$J$510,0))&amp;" mo",INDEX(Register!$E$11:$E$510,MATCH($H224,Register!$J$11:$J$510,0))&amp;""))</f>
        <v/>
      </c>
      <c r="F224" s="26" t="str">
        <f aca="false">IF($H224="","",INDEX(Register!$F$11:$F$510,MATCH($H224,Register!$J$11:$J$510,0)))</f>
        <v/>
      </c>
      <c r="G224" s="27" t="str">
        <f aca="false">IF($H224="","",IF(INDEX(Register!$G$11:$G$510,MATCH($H224,Register!$J$11:$J$510,0))="Check details","Check details: "&amp;INDEX(Register!$I$11:$I$510,MATCH($H224,Register!$J$11:$J$510,0)),INDEX(Register!$G$11:$G$510,MATCH($H224,Register!$J$11:$J$510,0))))</f>
        <v/>
      </c>
      <c r="H224" s="28" t="str">
        <f aca="false">IF(218&gt;COUNT(Register!$J$11:$J$510),"",SMALL(Register!$J$11:$J$510,218))</f>
        <v/>
      </c>
    </row>
    <row r="225" customFormat="false" ht="15" hidden="false" customHeight="false" outlineLevel="0" collapsed="false">
      <c r="A225" s="25" t="str">
        <f aca="false">IF($H225="","",INDEX(Register!$A$11:$A$510,MATCH($H225,Register!$J$11:$J$510,0))&amp;"")</f>
        <v/>
      </c>
      <c r="B225" s="25" t="str">
        <f aca="false">IF($H225="","",INDEX(Register!$B$11:$B$510,MATCH($H225,Register!$J$11:$J$510,0))&amp;"")</f>
        <v/>
      </c>
      <c r="C225" s="25" t="str">
        <f aca="false">IF($H225="","",INDEX(Register!$C$11:$C$510,MATCH($H225,Register!$J$11:$J$510,0))&amp;"")</f>
        <v/>
      </c>
      <c r="D225" s="26" t="str">
        <f aca="false">IF($H225="","",IF(ISNUMBER(INDEX(Register!$D$11:$D$510,MATCH($H225,Register!$J$11:$J$510,0))),INDEX(Register!$D$11:$D$510,MATCH($H225,Register!$J$11:$J$510,0)),INDEX(Register!$D$11:$D$510,MATCH($H225,Register!$J$11:$J$510,0))&amp;""))</f>
        <v/>
      </c>
      <c r="E225" s="25" t="str">
        <f aca="false">IF($H225="","",IF(ISNUMBER(INDEX(Register!$E$11:$E$510,MATCH($H225,Register!$J$11:$J$510,0))),INDEX(Register!$E$11:$E$510,MATCH($H225,Register!$J$11:$J$510,0))&amp;" mo",INDEX(Register!$E$11:$E$510,MATCH($H225,Register!$J$11:$J$510,0))&amp;""))</f>
        <v/>
      </c>
      <c r="F225" s="26" t="str">
        <f aca="false">IF($H225="","",INDEX(Register!$F$11:$F$510,MATCH($H225,Register!$J$11:$J$510,0)))</f>
        <v/>
      </c>
      <c r="G225" s="27" t="str">
        <f aca="false">IF($H225="","",IF(INDEX(Register!$G$11:$G$510,MATCH($H225,Register!$J$11:$J$510,0))="Check details","Check details: "&amp;INDEX(Register!$I$11:$I$510,MATCH($H225,Register!$J$11:$J$510,0)),INDEX(Register!$G$11:$G$510,MATCH($H225,Register!$J$11:$J$510,0))))</f>
        <v/>
      </c>
      <c r="H225" s="28" t="str">
        <f aca="false">IF(219&gt;COUNT(Register!$J$11:$J$510),"",SMALL(Register!$J$11:$J$510,219))</f>
        <v/>
      </c>
    </row>
    <row r="226" customFormat="false" ht="15" hidden="false" customHeight="false" outlineLevel="0" collapsed="false">
      <c r="A226" s="25" t="str">
        <f aca="false">IF($H226="","",INDEX(Register!$A$11:$A$510,MATCH($H226,Register!$J$11:$J$510,0))&amp;"")</f>
        <v/>
      </c>
      <c r="B226" s="25" t="str">
        <f aca="false">IF($H226="","",INDEX(Register!$B$11:$B$510,MATCH($H226,Register!$J$11:$J$510,0))&amp;"")</f>
        <v/>
      </c>
      <c r="C226" s="25" t="str">
        <f aca="false">IF($H226="","",INDEX(Register!$C$11:$C$510,MATCH($H226,Register!$J$11:$J$510,0))&amp;"")</f>
        <v/>
      </c>
      <c r="D226" s="26" t="str">
        <f aca="false">IF($H226="","",IF(ISNUMBER(INDEX(Register!$D$11:$D$510,MATCH($H226,Register!$J$11:$J$510,0))),INDEX(Register!$D$11:$D$510,MATCH($H226,Register!$J$11:$J$510,0)),INDEX(Register!$D$11:$D$510,MATCH($H226,Register!$J$11:$J$510,0))&amp;""))</f>
        <v/>
      </c>
      <c r="E226" s="25" t="str">
        <f aca="false">IF($H226="","",IF(ISNUMBER(INDEX(Register!$E$11:$E$510,MATCH($H226,Register!$J$11:$J$510,0))),INDEX(Register!$E$11:$E$510,MATCH($H226,Register!$J$11:$J$510,0))&amp;" mo",INDEX(Register!$E$11:$E$510,MATCH($H226,Register!$J$11:$J$510,0))&amp;""))</f>
        <v/>
      </c>
      <c r="F226" s="26" t="str">
        <f aca="false">IF($H226="","",INDEX(Register!$F$11:$F$510,MATCH($H226,Register!$J$11:$J$510,0)))</f>
        <v/>
      </c>
      <c r="G226" s="27" t="str">
        <f aca="false">IF($H226="","",IF(INDEX(Register!$G$11:$G$510,MATCH($H226,Register!$J$11:$J$510,0))="Check details","Check details: "&amp;INDEX(Register!$I$11:$I$510,MATCH($H226,Register!$J$11:$J$510,0)),INDEX(Register!$G$11:$G$510,MATCH($H226,Register!$J$11:$J$510,0))))</f>
        <v/>
      </c>
      <c r="H226" s="28" t="str">
        <f aca="false">IF(220&gt;COUNT(Register!$J$11:$J$510),"",SMALL(Register!$J$11:$J$510,220))</f>
        <v/>
      </c>
    </row>
    <row r="227" customFormat="false" ht="15" hidden="false" customHeight="false" outlineLevel="0" collapsed="false">
      <c r="A227" s="25" t="str">
        <f aca="false">IF($H227="","",INDEX(Register!$A$11:$A$510,MATCH($H227,Register!$J$11:$J$510,0))&amp;"")</f>
        <v/>
      </c>
      <c r="B227" s="25" t="str">
        <f aca="false">IF($H227="","",INDEX(Register!$B$11:$B$510,MATCH($H227,Register!$J$11:$J$510,0))&amp;"")</f>
        <v/>
      </c>
      <c r="C227" s="25" t="str">
        <f aca="false">IF($H227="","",INDEX(Register!$C$11:$C$510,MATCH($H227,Register!$J$11:$J$510,0))&amp;"")</f>
        <v/>
      </c>
      <c r="D227" s="26" t="str">
        <f aca="false">IF($H227="","",IF(ISNUMBER(INDEX(Register!$D$11:$D$510,MATCH($H227,Register!$J$11:$J$510,0))),INDEX(Register!$D$11:$D$510,MATCH($H227,Register!$J$11:$J$510,0)),INDEX(Register!$D$11:$D$510,MATCH($H227,Register!$J$11:$J$510,0))&amp;""))</f>
        <v/>
      </c>
      <c r="E227" s="25" t="str">
        <f aca="false">IF($H227="","",IF(ISNUMBER(INDEX(Register!$E$11:$E$510,MATCH($H227,Register!$J$11:$J$510,0))),INDEX(Register!$E$11:$E$510,MATCH($H227,Register!$J$11:$J$510,0))&amp;" mo",INDEX(Register!$E$11:$E$510,MATCH($H227,Register!$J$11:$J$510,0))&amp;""))</f>
        <v/>
      </c>
      <c r="F227" s="26" t="str">
        <f aca="false">IF($H227="","",INDEX(Register!$F$11:$F$510,MATCH($H227,Register!$J$11:$J$510,0)))</f>
        <v/>
      </c>
      <c r="G227" s="27" t="str">
        <f aca="false">IF($H227="","",IF(INDEX(Register!$G$11:$G$510,MATCH($H227,Register!$J$11:$J$510,0))="Check details","Check details: "&amp;INDEX(Register!$I$11:$I$510,MATCH($H227,Register!$J$11:$J$510,0)),INDEX(Register!$G$11:$G$510,MATCH($H227,Register!$J$11:$J$510,0))))</f>
        <v/>
      </c>
      <c r="H227" s="28" t="str">
        <f aca="false">IF(221&gt;COUNT(Register!$J$11:$J$510),"",SMALL(Register!$J$11:$J$510,221))</f>
        <v/>
      </c>
    </row>
    <row r="228" customFormat="false" ht="15" hidden="false" customHeight="false" outlineLevel="0" collapsed="false">
      <c r="A228" s="25" t="str">
        <f aca="false">IF($H228="","",INDEX(Register!$A$11:$A$510,MATCH($H228,Register!$J$11:$J$510,0))&amp;"")</f>
        <v/>
      </c>
      <c r="B228" s="25" t="str">
        <f aca="false">IF($H228="","",INDEX(Register!$B$11:$B$510,MATCH($H228,Register!$J$11:$J$510,0))&amp;"")</f>
        <v/>
      </c>
      <c r="C228" s="25" t="str">
        <f aca="false">IF($H228="","",INDEX(Register!$C$11:$C$510,MATCH($H228,Register!$J$11:$J$510,0))&amp;"")</f>
        <v/>
      </c>
      <c r="D228" s="26" t="str">
        <f aca="false">IF($H228="","",IF(ISNUMBER(INDEX(Register!$D$11:$D$510,MATCH($H228,Register!$J$11:$J$510,0))),INDEX(Register!$D$11:$D$510,MATCH($H228,Register!$J$11:$J$510,0)),INDEX(Register!$D$11:$D$510,MATCH($H228,Register!$J$11:$J$510,0))&amp;""))</f>
        <v/>
      </c>
      <c r="E228" s="25" t="str">
        <f aca="false">IF($H228="","",IF(ISNUMBER(INDEX(Register!$E$11:$E$510,MATCH($H228,Register!$J$11:$J$510,0))),INDEX(Register!$E$11:$E$510,MATCH($H228,Register!$J$11:$J$510,0))&amp;" mo",INDEX(Register!$E$11:$E$510,MATCH($H228,Register!$J$11:$J$510,0))&amp;""))</f>
        <v/>
      </c>
      <c r="F228" s="26" t="str">
        <f aca="false">IF($H228="","",INDEX(Register!$F$11:$F$510,MATCH($H228,Register!$J$11:$J$510,0)))</f>
        <v/>
      </c>
      <c r="G228" s="27" t="str">
        <f aca="false">IF($H228="","",IF(INDEX(Register!$G$11:$G$510,MATCH($H228,Register!$J$11:$J$510,0))="Check details","Check details: "&amp;INDEX(Register!$I$11:$I$510,MATCH($H228,Register!$J$11:$J$510,0)),INDEX(Register!$G$11:$G$510,MATCH($H228,Register!$J$11:$J$510,0))))</f>
        <v/>
      </c>
      <c r="H228" s="28" t="str">
        <f aca="false">IF(222&gt;COUNT(Register!$J$11:$J$510),"",SMALL(Register!$J$11:$J$510,222))</f>
        <v/>
      </c>
    </row>
    <row r="229" customFormat="false" ht="15" hidden="false" customHeight="false" outlineLevel="0" collapsed="false">
      <c r="A229" s="25" t="str">
        <f aca="false">IF($H229="","",INDEX(Register!$A$11:$A$510,MATCH($H229,Register!$J$11:$J$510,0))&amp;"")</f>
        <v/>
      </c>
      <c r="B229" s="25" t="str">
        <f aca="false">IF($H229="","",INDEX(Register!$B$11:$B$510,MATCH($H229,Register!$J$11:$J$510,0))&amp;"")</f>
        <v/>
      </c>
      <c r="C229" s="25" t="str">
        <f aca="false">IF($H229="","",INDEX(Register!$C$11:$C$510,MATCH($H229,Register!$J$11:$J$510,0))&amp;"")</f>
        <v/>
      </c>
      <c r="D229" s="26" t="str">
        <f aca="false">IF($H229="","",IF(ISNUMBER(INDEX(Register!$D$11:$D$510,MATCH($H229,Register!$J$11:$J$510,0))),INDEX(Register!$D$11:$D$510,MATCH($H229,Register!$J$11:$J$510,0)),INDEX(Register!$D$11:$D$510,MATCH($H229,Register!$J$11:$J$510,0))&amp;""))</f>
        <v/>
      </c>
      <c r="E229" s="25" t="str">
        <f aca="false">IF($H229="","",IF(ISNUMBER(INDEX(Register!$E$11:$E$510,MATCH($H229,Register!$J$11:$J$510,0))),INDEX(Register!$E$11:$E$510,MATCH($H229,Register!$J$11:$J$510,0))&amp;" mo",INDEX(Register!$E$11:$E$510,MATCH($H229,Register!$J$11:$J$510,0))&amp;""))</f>
        <v/>
      </c>
      <c r="F229" s="26" t="str">
        <f aca="false">IF($H229="","",INDEX(Register!$F$11:$F$510,MATCH($H229,Register!$J$11:$J$510,0)))</f>
        <v/>
      </c>
      <c r="G229" s="27" t="str">
        <f aca="false">IF($H229="","",IF(INDEX(Register!$G$11:$G$510,MATCH($H229,Register!$J$11:$J$510,0))="Check details","Check details: "&amp;INDEX(Register!$I$11:$I$510,MATCH($H229,Register!$J$11:$J$510,0)),INDEX(Register!$G$11:$G$510,MATCH($H229,Register!$J$11:$J$510,0))))</f>
        <v/>
      </c>
      <c r="H229" s="28" t="str">
        <f aca="false">IF(223&gt;COUNT(Register!$J$11:$J$510),"",SMALL(Register!$J$11:$J$510,223))</f>
        <v/>
      </c>
    </row>
    <row r="230" customFormat="false" ht="15" hidden="false" customHeight="false" outlineLevel="0" collapsed="false">
      <c r="A230" s="25" t="str">
        <f aca="false">IF($H230="","",INDEX(Register!$A$11:$A$510,MATCH($H230,Register!$J$11:$J$510,0))&amp;"")</f>
        <v/>
      </c>
      <c r="B230" s="25" t="str">
        <f aca="false">IF($H230="","",INDEX(Register!$B$11:$B$510,MATCH($H230,Register!$J$11:$J$510,0))&amp;"")</f>
        <v/>
      </c>
      <c r="C230" s="25" t="str">
        <f aca="false">IF($H230="","",INDEX(Register!$C$11:$C$510,MATCH($H230,Register!$J$11:$J$510,0))&amp;"")</f>
        <v/>
      </c>
      <c r="D230" s="26" t="str">
        <f aca="false">IF($H230="","",IF(ISNUMBER(INDEX(Register!$D$11:$D$510,MATCH($H230,Register!$J$11:$J$510,0))),INDEX(Register!$D$11:$D$510,MATCH($H230,Register!$J$11:$J$510,0)),INDEX(Register!$D$11:$D$510,MATCH($H230,Register!$J$11:$J$510,0))&amp;""))</f>
        <v/>
      </c>
      <c r="E230" s="25" t="str">
        <f aca="false">IF($H230="","",IF(ISNUMBER(INDEX(Register!$E$11:$E$510,MATCH($H230,Register!$J$11:$J$510,0))),INDEX(Register!$E$11:$E$510,MATCH($H230,Register!$J$11:$J$510,0))&amp;" mo",INDEX(Register!$E$11:$E$510,MATCH($H230,Register!$J$11:$J$510,0))&amp;""))</f>
        <v/>
      </c>
      <c r="F230" s="26" t="str">
        <f aca="false">IF($H230="","",INDEX(Register!$F$11:$F$510,MATCH($H230,Register!$J$11:$J$510,0)))</f>
        <v/>
      </c>
      <c r="G230" s="27" t="str">
        <f aca="false">IF($H230="","",IF(INDEX(Register!$G$11:$G$510,MATCH($H230,Register!$J$11:$J$510,0))="Check details","Check details: "&amp;INDEX(Register!$I$11:$I$510,MATCH($H230,Register!$J$11:$J$510,0)),INDEX(Register!$G$11:$G$510,MATCH($H230,Register!$J$11:$J$510,0))))</f>
        <v/>
      </c>
      <c r="H230" s="28" t="str">
        <f aca="false">IF(224&gt;COUNT(Register!$J$11:$J$510),"",SMALL(Register!$J$11:$J$510,224))</f>
        <v/>
      </c>
    </row>
    <row r="231" customFormat="false" ht="15" hidden="false" customHeight="false" outlineLevel="0" collapsed="false">
      <c r="A231" s="25" t="str">
        <f aca="false">IF($H231="","",INDEX(Register!$A$11:$A$510,MATCH($H231,Register!$J$11:$J$510,0))&amp;"")</f>
        <v/>
      </c>
      <c r="B231" s="25" t="str">
        <f aca="false">IF($H231="","",INDEX(Register!$B$11:$B$510,MATCH($H231,Register!$J$11:$J$510,0))&amp;"")</f>
        <v/>
      </c>
      <c r="C231" s="25" t="str">
        <f aca="false">IF($H231="","",INDEX(Register!$C$11:$C$510,MATCH($H231,Register!$J$11:$J$510,0))&amp;"")</f>
        <v/>
      </c>
      <c r="D231" s="26" t="str">
        <f aca="false">IF($H231="","",IF(ISNUMBER(INDEX(Register!$D$11:$D$510,MATCH($H231,Register!$J$11:$J$510,0))),INDEX(Register!$D$11:$D$510,MATCH($H231,Register!$J$11:$J$510,0)),INDEX(Register!$D$11:$D$510,MATCH($H231,Register!$J$11:$J$510,0))&amp;""))</f>
        <v/>
      </c>
      <c r="E231" s="25" t="str">
        <f aca="false">IF($H231="","",IF(ISNUMBER(INDEX(Register!$E$11:$E$510,MATCH($H231,Register!$J$11:$J$510,0))),INDEX(Register!$E$11:$E$510,MATCH($H231,Register!$J$11:$J$510,0))&amp;" mo",INDEX(Register!$E$11:$E$510,MATCH($H231,Register!$J$11:$J$510,0))&amp;""))</f>
        <v/>
      </c>
      <c r="F231" s="26" t="str">
        <f aca="false">IF($H231="","",INDEX(Register!$F$11:$F$510,MATCH($H231,Register!$J$11:$J$510,0)))</f>
        <v/>
      </c>
      <c r="G231" s="27" t="str">
        <f aca="false">IF($H231="","",IF(INDEX(Register!$G$11:$G$510,MATCH($H231,Register!$J$11:$J$510,0))="Check details","Check details: "&amp;INDEX(Register!$I$11:$I$510,MATCH($H231,Register!$J$11:$J$510,0)),INDEX(Register!$G$11:$G$510,MATCH($H231,Register!$J$11:$J$510,0))))</f>
        <v/>
      </c>
      <c r="H231" s="28" t="str">
        <f aca="false">IF(225&gt;COUNT(Register!$J$11:$J$510),"",SMALL(Register!$J$11:$J$510,225))</f>
        <v/>
      </c>
    </row>
    <row r="232" customFormat="false" ht="15" hidden="false" customHeight="false" outlineLevel="0" collapsed="false">
      <c r="A232" s="25" t="str">
        <f aca="false">IF($H232="","",INDEX(Register!$A$11:$A$510,MATCH($H232,Register!$J$11:$J$510,0))&amp;"")</f>
        <v/>
      </c>
      <c r="B232" s="25" t="str">
        <f aca="false">IF($H232="","",INDEX(Register!$B$11:$B$510,MATCH($H232,Register!$J$11:$J$510,0))&amp;"")</f>
        <v/>
      </c>
      <c r="C232" s="25" t="str">
        <f aca="false">IF($H232="","",INDEX(Register!$C$11:$C$510,MATCH($H232,Register!$J$11:$J$510,0))&amp;"")</f>
        <v/>
      </c>
      <c r="D232" s="26" t="str">
        <f aca="false">IF($H232="","",IF(ISNUMBER(INDEX(Register!$D$11:$D$510,MATCH($H232,Register!$J$11:$J$510,0))),INDEX(Register!$D$11:$D$510,MATCH($H232,Register!$J$11:$J$510,0)),INDEX(Register!$D$11:$D$510,MATCH($H232,Register!$J$11:$J$510,0))&amp;""))</f>
        <v/>
      </c>
      <c r="E232" s="25" t="str">
        <f aca="false">IF($H232="","",IF(ISNUMBER(INDEX(Register!$E$11:$E$510,MATCH($H232,Register!$J$11:$J$510,0))),INDEX(Register!$E$11:$E$510,MATCH($H232,Register!$J$11:$J$510,0))&amp;" mo",INDEX(Register!$E$11:$E$510,MATCH($H232,Register!$J$11:$J$510,0))&amp;""))</f>
        <v/>
      </c>
      <c r="F232" s="26" t="str">
        <f aca="false">IF($H232="","",INDEX(Register!$F$11:$F$510,MATCH($H232,Register!$J$11:$J$510,0)))</f>
        <v/>
      </c>
      <c r="G232" s="27" t="str">
        <f aca="false">IF($H232="","",IF(INDEX(Register!$G$11:$G$510,MATCH($H232,Register!$J$11:$J$510,0))="Check details","Check details: "&amp;INDEX(Register!$I$11:$I$510,MATCH($H232,Register!$J$11:$J$510,0)),INDEX(Register!$G$11:$G$510,MATCH($H232,Register!$J$11:$J$510,0))))</f>
        <v/>
      </c>
      <c r="H232" s="28" t="str">
        <f aca="false">IF(226&gt;COUNT(Register!$J$11:$J$510),"",SMALL(Register!$J$11:$J$510,226))</f>
        <v/>
      </c>
    </row>
    <row r="233" customFormat="false" ht="15" hidden="false" customHeight="false" outlineLevel="0" collapsed="false">
      <c r="A233" s="25" t="str">
        <f aca="false">IF($H233="","",INDEX(Register!$A$11:$A$510,MATCH($H233,Register!$J$11:$J$510,0))&amp;"")</f>
        <v/>
      </c>
      <c r="B233" s="25" t="str">
        <f aca="false">IF($H233="","",INDEX(Register!$B$11:$B$510,MATCH($H233,Register!$J$11:$J$510,0))&amp;"")</f>
        <v/>
      </c>
      <c r="C233" s="25" t="str">
        <f aca="false">IF($H233="","",INDEX(Register!$C$11:$C$510,MATCH($H233,Register!$J$11:$J$510,0))&amp;"")</f>
        <v/>
      </c>
      <c r="D233" s="26" t="str">
        <f aca="false">IF($H233="","",IF(ISNUMBER(INDEX(Register!$D$11:$D$510,MATCH($H233,Register!$J$11:$J$510,0))),INDEX(Register!$D$11:$D$510,MATCH($H233,Register!$J$11:$J$510,0)),INDEX(Register!$D$11:$D$510,MATCH($H233,Register!$J$11:$J$510,0))&amp;""))</f>
        <v/>
      </c>
      <c r="E233" s="25" t="str">
        <f aca="false">IF($H233="","",IF(ISNUMBER(INDEX(Register!$E$11:$E$510,MATCH($H233,Register!$J$11:$J$510,0))),INDEX(Register!$E$11:$E$510,MATCH($H233,Register!$J$11:$J$510,0))&amp;" mo",INDEX(Register!$E$11:$E$510,MATCH($H233,Register!$J$11:$J$510,0))&amp;""))</f>
        <v/>
      </c>
      <c r="F233" s="26" t="str">
        <f aca="false">IF($H233="","",INDEX(Register!$F$11:$F$510,MATCH($H233,Register!$J$11:$J$510,0)))</f>
        <v/>
      </c>
      <c r="G233" s="27" t="str">
        <f aca="false">IF($H233="","",IF(INDEX(Register!$G$11:$G$510,MATCH($H233,Register!$J$11:$J$510,0))="Check details","Check details: "&amp;INDEX(Register!$I$11:$I$510,MATCH($H233,Register!$J$11:$J$510,0)),INDEX(Register!$G$11:$G$510,MATCH($H233,Register!$J$11:$J$510,0))))</f>
        <v/>
      </c>
      <c r="H233" s="28" t="str">
        <f aca="false">IF(227&gt;COUNT(Register!$J$11:$J$510),"",SMALL(Register!$J$11:$J$510,227))</f>
        <v/>
      </c>
    </row>
    <row r="234" customFormat="false" ht="15" hidden="false" customHeight="false" outlineLevel="0" collapsed="false">
      <c r="A234" s="25" t="str">
        <f aca="false">IF($H234="","",INDEX(Register!$A$11:$A$510,MATCH($H234,Register!$J$11:$J$510,0))&amp;"")</f>
        <v/>
      </c>
      <c r="B234" s="25" t="str">
        <f aca="false">IF($H234="","",INDEX(Register!$B$11:$B$510,MATCH($H234,Register!$J$11:$J$510,0))&amp;"")</f>
        <v/>
      </c>
      <c r="C234" s="25" t="str">
        <f aca="false">IF($H234="","",INDEX(Register!$C$11:$C$510,MATCH($H234,Register!$J$11:$J$510,0))&amp;"")</f>
        <v/>
      </c>
      <c r="D234" s="26" t="str">
        <f aca="false">IF($H234="","",IF(ISNUMBER(INDEX(Register!$D$11:$D$510,MATCH($H234,Register!$J$11:$J$510,0))),INDEX(Register!$D$11:$D$510,MATCH($H234,Register!$J$11:$J$510,0)),INDEX(Register!$D$11:$D$510,MATCH($H234,Register!$J$11:$J$510,0))&amp;""))</f>
        <v/>
      </c>
      <c r="E234" s="25" t="str">
        <f aca="false">IF($H234="","",IF(ISNUMBER(INDEX(Register!$E$11:$E$510,MATCH($H234,Register!$J$11:$J$510,0))),INDEX(Register!$E$11:$E$510,MATCH($H234,Register!$J$11:$J$510,0))&amp;" mo",INDEX(Register!$E$11:$E$510,MATCH($H234,Register!$J$11:$J$510,0))&amp;""))</f>
        <v/>
      </c>
      <c r="F234" s="26" t="str">
        <f aca="false">IF($H234="","",INDEX(Register!$F$11:$F$510,MATCH($H234,Register!$J$11:$J$510,0)))</f>
        <v/>
      </c>
      <c r="G234" s="27" t="str">
        <f aca="false">IF($H234="","",IF(INDEX(Register!$G$11:$G$510,MATCH($H234,Register!$J$11:$J$510,0))="Check details","Check details: "&amp;INDEX(Register!$I$11:$I$510,MATCH($H234,Register!$J$11:$J$510,0)),INDEX(Register!$G$11:$G$510,MATCH($H234,Register!$J$11:$J$510,0))))</f>
        <v/>
      </c>
      <c r="H234" s="28" t="str">
        <f aca="false">IF(228&gt;COUNT(Register!$J$11:$J$510),"",SMALL(Register!$J$11:$J$510,228))</f>
        <v/>
      </c>
    </row>
    <row r="235" customFormat="false" ht="15" hidden="false" customHeight="false" outlineLevel="0" collapsed="false">
      <c r="A235" s="25" t="str">
        <f aca="false">IF($H235="","",INDEX(Register!$A$11:$A$510,MATCH($H235,Register!$J$11:$J$510,0))&amp;"")</f>
        <v/>
      </c>
      <c r="B235" s="25" t="str">
        <f aca="false">IF($H235="","",INDEX(Register!$B$11:$B$510,MATCH($H235,Register!$J$11:$J$510,0))&amp;"")</f>
        <v/>
      </c>
      <c r="C235" s="25" t="str">
        <f aca="false">IF($H235="","",INDEX(Register!$C$11:$C$510,MATCH($H235,Register!$J$11:$J$510,0))&amp;"")</f>
        <v/>
      </c>
      <c r="D235" s="26" t="str">
        <f aca="false">IF($H235="","",IF(ISNUMBER(INDEX(Register!$D$11:$D$510,MATCH($H235,Register!$J$11:$J$510,0))),INDEX(Register!$D$11:$D$510,MATCH($H235,Register!$J$11:$J$510,0)),INDEX(Register!$D$11:$D$510,MATCH($H235,Register!$J$11:$J$510,0))&amp;""))</f>
        <v/>
      </c>
      <c r="E235" s="25" t="str">
        <f aca="false">IF($H235="","",IF(ISNUMBER(INDEX(Register!$E$11:$E$510,MATCH($H235,Register!$J$11:$J$510,0))),INDEX(Register!$E$11:$E$510,MATCH($H235,Register!$J$11:$J$510,0))&amp;" mo",INDEX(Register!$E$11:$E$510,MATCH($H235,Register!$J$11:$J$510,0))&amp;""))</f>
        <v/>
      </c>
      <c r="F235" s="26" t="str">
        <f aca="false">IF($H235="","",INDEX(Register!$F$11:$F$510,MATCH($H235,Register!$J$11:$J$510,0)))</f>
        <v/>
      </c>
      <c r="G235" s="27" t="str">
        <f aca="false">IF($H235="","",IF(INDEX(Register!$G$11:$G$510,MATCH($H235,Register!$J$11:$J$510,0))="Check details","Check details: "&amp;INDEX(Register!$I$11:$I$510,MATCH($H235,Register!$J$11:$J$510,0)),INDEX(Register!$G$11:$G$510,MATCH($H235,Register!$J$11:$J$510,0))))</f>
        <v/>
      </c>
      <c r="H235" s="28" t="str">
        <f aca="false">IF(229&gt;COUNT(Register!$J$11:$J$510),"",SMALL(Register!$J$11:$J$510,229))</f>
        <v/>
      </c>
    </row>
    <row r="236" customFormat="false" ht="15" hidden="false" customHeight="false" outlineLevel="0" collapsed="false">
      <c r="A236" s="25" t="str">
        <f aca="false">IF($H236="","",INDEX(Register!$A$11:$A$510,MATCH($H236,Register!$J$11:$J$510,0))&amp;"")</f>
        <v/>
      </c>
      <c r="B236" s="25" t="str">
        <f aca="false">IF($H236="","",INDEX(Register!$B$11:$B$510,MATCH($H236,Register!$J$11:$J$510,0))&amp;"")</f>
        <v/>
      </c>
      <c r="C236" s="25" t="str">
        <f aca="false">IF($H236="","",INDEX(Register!$C$11:$C$510,MATCH($H236,Register!$J$11:$J$510,0))&amp;"")</f>
        <v/>
      </c>
      <c r="D236" s="26" t="str">
        <f aca="false">IF($H236="","",IF(ISNUMBER(INDEX(Register!$D$11:$D$510,MATCH($H236,Register!$J$11:$J$510,0))),INDEX(Register!$D$11:$D$510,MATCH($H236,Register!$J$11:$J$510,0)),INDEX(Register!$D$11:$D$510,MATCH($H236,Register!$J$11:$J$510,0))&amp;""))</f>
        <v/>
      </c>
      <c r="E236" s="25" t="str">
        <f aca="false">IF($H236="","",IF(ISNUMBER(INDEX(Register!$E$11:$E$510,MATCH($H236,Register!$J$11:$J$510,0))),INDEX(Register!$E$11:$E$510,MATCH($H236,Register!$J$11:$J$510,0))&amp;" mo",INDEX(Register!$E$11:$E$510,MATCH($H236,Register!$J$11:$J$510,0))&amp;""))</f>
        <v/>
      </c>
      <c r="F236" s="26" t="str">
        <f aca="false">IF($H236="","",INDEX(Register!$F$11:$F$510,MATCH($H236,Register!$J$11:$J$510,0)))</f>
        <v/>
      </c>
      <c r="G236" s="27" t="str">
        <f aca="false">IF($H236="","",IF(INDEX(Register!$G$11:$G$510,MATCH($H236,Register!$J$11:$J$510,0))="Check details","Check details: "&amp;INDEX(Register!$I$11:$I$510,MATCH($H236,Register!$J$11:$J$510,0)),INDEX(Register!$G$11:$G$510,MATCH($H236,Register!$J$11:$J$510,0))))</f>
        <v/>
      </c>
      <c r="H236" s="28" t="str">
        <f aca="false">IF(230&gt;COUNT(Register!$J$11:$J$510),"",SMALL(Register!$J$11:$J$510,230))</f>
        <v/>
      </c>
    </row>
    <row r="237" customFormat="false" ht="15" hidden="false" customHeight="false" outlineLevel="0" collapsed="false">
      <c r="A237" s="25" t="str">
        <f aca="false">IF($H237="","",INDEX(Register!$A$11:$A$510,MATCH($H237,Register!$J$11:$J$510,0))&amp;"")</f>
        <v/>
      </c>
      <c r="B237" s="25" t="str">
        <f aca="false">IF($H237="","",INDEX(Register!$B$11:$B$510,MATCH($H237,Register!$J$11:$J$510,0))&amp;"")</f>
        <v/>
      </c>
      <c r="C237" s="25" t="str">
        <f aca="false">IF($H237="","",INDEX(Register!$C$11:$C$510,MATCH($H237,Register!$J$11:$J$510,0))&amp;"")</f>
        <v/>
      </c>
      <c r="D237" s="26" t="str">
        <f aca="false">IF($H237="","",IF(ISNUMBER(INDEX(Register!$D$11:$D$510,MATCH($H237,Register!$J$11:$J$510,0))),INDEX(Register!$D$11:$D$510,MATCH($H237,Register!$J$11:$J$510,0)),INDEX(Register!$D$11:$D$510,MATCH($H237,Register!$J$11:$J$510,0))&amp;""))</f>
        <v/>
      </c>
      <c r="E237" s="25" t="str">
        <f aca="false">IF($H237="","",IF(ISNUMBER(INDEX(Register!$E$11:$E$510,MATCH($H237,Register!$J$11:$J$510,0))),INDEX(Register!$E$11:$E$510,MATCH($H237,Register!$J$11:$J$510,0))&amp;" mo",INDEX(Register!$E$11:$E$510,MATCH($H237,Register!$J$11:$J$510,0))&amp;""))</f>
        <v/>
      </c>
      <c r="F237" s="26" t="str">
        <f aca="false">IF($H237="","",INDEX(Register!$F$11:$F$510,MATCH($H237,Register!$J$11:$J$510,0)))</f>
        <v/>
      </c>
      <c r="G237" s="27" t="str">
        <f aca="false">IF($H237="","",IF(INDEX(Register!$G$11:$G$510,MATCH($H237,Register!$J$11:$J$510,0))="Check details","Check details: "&amp;INDEX(Register!$I$11:$I$510,MATCH($H237,Register!$J$11:$J$510,0)),INDEX(Register!$G$11:$G$510,MATCH($H237,Register!$J$11:$J$510,0))))</f>
        <v/>
      </c>
      <c r="H237" s="28" t="str">
        <f aca="false">IF(231&gt;COUNT(Register!$J$11:$J$510),"",SMALL(Register!$J$11:$J$510,231))</f>
        <v/>
      </c>
    </row>
    <row r="238" customFormat="false" ht="15" hidden="false" customHeight="false" outlineLevel="0" collapsed="false">
      <c r="A238" s="25" t="str">
        <f aca="false">IF($H238="","",INDEX(Register!$A$11:$A$510,MATCH($H238,Register!$J$11:$J$510,0))&amp;"")</f>
        <v/>
      </c>
      <c r="B238" s="25" t="str">
        <f aca="false">IF($H238="","",INDEX(Register!$B$11:$B$510,MATCH($H238,Register!$J$11:$J$510,0))&amp;"")</f>
        <v/>
      </c>
      <c r="C238" s="25" t="str">
        <f aca="false">IF($H238="","",INDEX(Register!$C$11:$C$510,MATCH($H238,Register!$J$11:$J$510,0))&amp;"")</f>
        <v/>
      </c>
      <c r="D238" s="26" t="str">
        <f aca="false">IF($H238="","",IF(ISNUMBER(INDEX(Register!$D$11:$D$510,MATCH($H238,Register!$J$11:$J$510,0))),INDEX(Register!$D$11:$D$510,MATCH($H238,Register!$J$11:$J$510,0)),INDEX(Register!$D$11:$D$510,MATCH($H238,Register!$J$11:$J$510,0))&amp;""))</f>
        <v/>
      </c>
      <c r="E238" s="25" t="str">
        <f aca="false">IF($H238="","",IF(ISNUMBER(INDEX(Register!$E$11:$E$510,MATCH($H238,Register!$J$11:$J$510,0))),INDEX(Register!$E$11:$E$510,MATCH($H238,Register!$J$11:$J$510,0))&amp;" mo",INDEX(Register!$E$11:$E$510,MATCH($H238,Register!$J$11:$J$510,0))&amp;""))</f>
        <v/>
      </c>
      <c r="F238" s="26" t="str">
        <f aca="false">IF($H238="","",INDEX(Register!$F$11:$F$510,MATCH($H238,Register!$J$11:$J$510,0)))</f>
        <v/>
      </c>
      <c r="G238" s="27" t="str">
        <f aca="false">IF($H238="","",IF(INDEX(Register!$G$11:$G$510,MATCH($H238,Register!$J$11:$J$510,0))="Check details","Check details: "&amp;INDEX(Register!$I$11:$I$510,MATCH($H238,Register!$J$11:$J$510,0)),INDEX(Register!$G$11:$G$510,MATCH($H238,Register!$J$11:$J$510,0))))</f>
        <v/>
      </c>
      <c r="H238" s="28" t="str">
        <f aca="false">IF(232&gt;COUNT(Register!$J$11:$J$510),"",SMALL(Register!$J$11:$J$510,232))</f>
        <v/>
      </c>
    </row>
    <row r="239" customFormat="false" ht="15" hidden="false" customHeight="false" outlineLevel="0" collapsed="false">
      <c r="A239" s="25" t="str">
        <f aca="false">IF($H239="","",INDEX(Register!$A$11:$A$510,MATCH($H239,Register!$J$11:$J$510,0))&amp;"")</f>
        <v/>
      </c>
      <c r="B239" s="25" t="str">
        <f aca="false">IF($H239="","",INDEX(Register!$B$11:$B$510,MATCH($H239,Register!$J$11:$J$510,0))&amp;"")</f>
        <v/>
      </c>
      <c r="C239" s="25" t="str">
        <f aca="false">IF($H239="","",INDEX(Register!$C$11:$C$510,MATCH($H239,Register!$J$11:$J$510,0))&amp;"")</f>
        <v/>
      </c>
      <c r="D239" s="26" t="str">
        <f aca="false">IF($H239="","",IF(ISNUMBER(INDEX(Register!$D$11:$D$510,MATCH($H239,Register!$J$11:$J$510,0))),INDEX(Register!$D$11:$D$510,MATCH($H239,Register!$J$11:$J$510,0)),INDEX(Register!$D$11:$D$510,MATCH($H239,Register!$J$11:$J$510,0))&amp;""))</f>
        <v/>
      </c>
      <c r="E239" s="25" t="str">
        <f aca="false">IF($H239="","",IF(ISNUMBER(INDEX(Register!$E$11:$E$510,MATCH($H239,Register!$J$11:$J$510,0))),INDEX(Register!$E$11:$E$510,MATCH($H239,Register!$J$11:$J$510,0))&amp;" mo",INDEX(Register!$E$11:$E$510,MATCH($H239,Register!$J$11:$J$510,0))&amp;""))</f>
        <v/>
      </c>
      <c r="F239" s="26" t="str">
        <f aca="false">IF($H239="","",INDEX(Register!$F$11:$F$510,MATCH($H239,Register!$J$11:$J$510,0)))</f>
        <v/>
      </c>
      <c r="G239" s="27" t="str">
        <f aca="false">IF($H239="","",IF(INDEX(Register!$G$11:$G$510,MATCH($H239,Register!$J$11:$J$510,0))="Check details","Check details: "&amp;INDEX(Register!$I$11:$I$510,MATCH($H239,Register!$J$11:$J$510,0)),INDEX(Register!$G$11:$G$510,MATCH($H239,Register!$J$11:$J$510,0))))</f>
        <v/>
      </c>
      <c r="H239" s="28" t="str">
        <f aca="false">IF(233&gt;COUNT(Register!$J$11:$J$510),"",SMALL(Register!$J$11:$J$510,233))</f>
        <v/>
      </c>
    </row>
    <row r="240" customFormat="false" ht="15" hidden="false" customHeight="false" outlineLevel="0" collapsed="false">
      <c r="A240" s="25" t="str">
        <f aca="false">IF($H240="","",INDEX(Register!$A$11:$A$510,MATCH($H240,Register!$J$11:$J$510,0))&amp;"")</f>
        <v/>
      </c>
      <c r="B240" s="25" t="str">
        <f aca="false">IF($H240="","",INDEX(Register!$B$11:$B$510,MATCH($H240,Register!$J$11:$J$510,0))&amp;"")</f>
        <v/>
      </c>
      <c r="C240" s="25" t="str">
        <f aca="false">IF($H240="","",INDEX(Register!$C$11:$C$510,MATCH($H240,Register!$J$11:$J$510,0))&amp;"")</f>
        <v/>
      </c>
      <c r="D240" s="26" t="str">
        <f aca="false">IF($H240="","",IF(ISNUMBER(INDEX(Register!$D$11:$D$510,MATCH($H240,Register!$J$11:$J$510,0))),INDEX(Register!$D$11:$D$510,MATCH($H240,Register!$J$11:$J$510,0)),INDEX(Register!$D$11:$D$510,MATCH($H240,Register!$J$11:$J$510,0))&amp;""))</f>
        <v/>
      </c>
      <c r="E240" s="25" t="str">
        <f aca="false">IF($H240="","",IF(ISNUMBER(INDEX(Register!$E$11:$E$510,MATCH($H240,Register!$J$11:$J$510,0))),INDEX(Register!$E$11:$E$510,MATCH($H240,Register!$J$11:$J$510,0))&amp;" mo",INDEX(Register!$E$11:$E$510,MATCH($H240,Register!$J$11:$J$510,0))&amp;""))</f>
        <v/>
      </c>
      <c r="F240" s="26" t="str">
        <f aca="false">IF($H240="","",INDEX(Register!$F$11:$F$510,MATCH($H240,Register!$J$11:$J$510,0)))</f>
        <v/>
      </c>
      <c r="G240" s="27" t="str">
        <f aca="false">IF($H240="","",IF(INDEX(Register!$G$11:$G$510,MATCH($H240,Register!$J$11:$J$510,0))="Check details","Check details: "&amp;INDEX(Register!$I$11:$I$510,MATCH($H240,Register!$J$11:$J$510,0)),INDEX(Register!$G$11:$G$510,MATCH($H240,Register!$J$11:$J$510,0))))</f>
        <v/>
      </c>
      <c r="H240" s="28" t="str">
        <f aca="false">IF(234&gt;COUNT(Register!$J$11:$J$510),"",SMALL(Register!$J$11:$J$510,234))</f>
        <v/>
      </c>
    </row>
    <row r="241" customFormat="false" ht="15" hidden="false" customHeight="false" outlineLevel="0" collapsed="false">
      <c r="A241" s="25" t="str">
        <f aca="false">IF($H241="","",INDEX(Register!$A$11:$A$510,MATCH($H241,Register!$J$11:$J$510,0))&amp;"")</f>
        <v/>
      </c>
      <c r="B241" s="25" t="str">
        <f aca="false">IF($H241="","",INDEX(Register!$B$11:$B$510,MATCH($H241,Register!$J$11:$J$510,0))&amp;"")</f>
        <v/>
      </c>
      <c r="C241" s="25" t="str">
        <f aca="false">IF($H241="","",INDEX(Register!$C$11:$C$510,MATCH($H241,Register!$J$11:$J$510,0))&amp;"")</f>
        <v/>
      </c>
      <c r="D241" s="26" t="str">
        <f aca="false">IF($H241="","",IF(ISNUMBER(INDEX(Register!$D$11:$D$510,MATCH($H241,Register!$J$11:$J$510,0))),INDEX(Register!$D$11:$D$510,MATCH($H241,Register!$J$11:$J$510,0)),INDEX(Register!$D$11:$D$510,MATCH($H241,Register!$J$11:$J$510,0))&amp;""))</f>
        <v/>
      </c>
      <c r="E241" s="25" t="str">
        <f aca="false">IF($H241="","",IF(ISNUMBER(INDEX(Register!$E$11:$E$510,MATCH($H241,Register!$J$11:$J$510,0))),INDEX(Register!$E$11:$E$510,MATCH($H241,Register!$J$11:$J$510,0))&amp;" mo",INDEX(Register!$E$11:$E$510,MATCH($H241,Register!$J$11:$J$510,0))&amp;""))</f>
        <v/>
      </c>
      <c r="F241" s="26" t="str">
        <f aca="false">IF($H241="","",INDEX(Register!$F$11:$F$510,MATCH($H241,Register!$J$11:$J$510,0)))</f>
        <v/>
      </c>
      <c r="G241" s="27" t="str">
        <f aca="false">IF($H241="","",IF(INDEX(Register!$G$11:$G$510,MATCH($H241,Register!$J$11:$J$510,0))="Check details","Check details: "&amp;INDEX(Register!$I$11:$I$510,MATCH($H241,Register!$J$11:$J$510,0)),INDEX(Register!$G$11:$G$510,MATCH($H241,Register!$J$11:$J$510,0))))</f>
        <v/>
      </c>
      <c r="H241" s="28" t="str">
        <f aca="false">IF(235&gt;COUNT(Register!$J$11:$J$510),"",SMALL(Register!$J$11:$J$510,235))</f>
        <v/>
      </c>
    </row>
    <row r="242" customFormat="false" ht="15" hidden="false" customHeight="false" outlineLevel="0" collapsed="false">
      <c r="A242" s="25" t="str">
        <f aca="false">IF($H242="","",INDEX(Register!$A$11:$A$510,MATCH($H242,Register!$J$11:$J$510,0))&amp;"")</f>
        <v/>
      </c>
      <c r="B242" s="25" t="str">
        <f aca="false">IF($H242="","",INDEX(Register!$B$11:$B$510,MATCH($H242,Register!$J$11:$J$510,0))&amp;"")</f>
        <v/>
      </c>
      <c r="C242" s="25" t="str">
        <f aca="false">IF($H242="","",INDEX(Register!$C$11:$C$510,MATCH($H242,Register!$J$11:$J$510,0))&amp;"")</f>
        <v/>
      </c>
      <c r="D242" s="26" t="str">
        <f aca="false">IF($H242="","",IF(ISNUMBER(INDEX(Register!$D$11:$D$510,MATCH($H242,Register!$J$11:$J$510,0))),INDEX(Register!$D$11:$D$510,MATCH($H242,Register!$J$11:$J$510,0)),INDEX(Register!$D$11:$D$510,MATCH($H242,Register!$J$11:$J$510,0))&amp;""))</f>
        <v/>
      </c>
      <c r="E242" s="25" t="str">
        <f aca="false">IF($H242="","",IF(ISNUMBER(INDEX(Register!$E$11:$E$510,MATCH($H242,Register!$J$11:$J$510,0))),INDEX(Register!$E$11:$E$510,MATCH($H242,Register!$J$11:$J$510,0))&amp;" mo",INDEX(Register!$E$11:$E$510,MATCH($H242,Register!$J$11:$J$510,0))&amp;""))</f>
        <v/>
      </c>
      <c r="F242" s="26" t="str">
        <f aca="false">IF($H242="","",INDEX(Register!$F$11:$F$510,MATCH($H242,Register!$J$11:$J$510,0)))</f>
        <v/>
      </c>
      <c r="G242" s="27" t="str">
        <f aca="false">IF($H242="","",IF(INDEX(Register!$G$11:$G$510,MATCH($H242,Register!$J$11:$J$510,0))="Check details","Check details: "&amp;INDEX(Register!$I$11:$I$510,MATCH($H242,Register!$J$11:$J$510,0)),INDEX(Register!$G$11:$G$510,MATCH($H242,Register!$J$11:$J$510,0))))</f>
        <v/>
      </c>
      <c r="H242" s="28" t="str">
        <f aca="false">IF(236&gt;COUNT(Register!$J$11:$J$510),"",SMALL(Register!$J$11:$J$510,236))</f>
        <v/>
      </c>
    </row>
    <row r="243" customFormat="false" ht="15" hidden="false" customHeight="false" outlineLevel="0" collapsed="false">
      <c r="A243" s="25" t="str">
        <f aca="false">IF($H243="","",INDEX(Register!$A$11:$A$510,MATCH($H243,Register!$J$11:$J$510,0))&amp;"")</f>
        <v/>
      </c>
      <c r="B243" s="25" t="str">
        <f aca="false">IF($H243="","",INDEX(Register!$B$11:$B$510,MATCH($H243,Register!$J$11:$J$510,0))&amp;"")</f>
        <v/>
      </c>
      <c r="C243" s="25" t="str">
        <f aca="false">IF($H243="","",INDEX(Register!$C$11:$C$510,MATCH($H243,Register!$J$11:$J$510,0))&amp;"")</f>
        <v/>
      </c>
      <c r="D243" s="26" t="str">
        <f aca="false">IF($H243="","",IF(ISNUMBER(INDEX(Register!$D$11:$D$510,MATCH($H243,Register!$J$11:$J$510,0))),INDEX(Register!$D$11:$D$510,MATCH($H243,Register!$J$11:$J$510,0)),INDEX(Register!$D$11:$D$510,MATCH($H243,Register!$J$11:$J$510,0))&amp;""))</f>
        <v/>
      </c>
      <c r="E243" s="25" t="str">
        <f aca="false">IF($H243="","",IF(ISNUMBER(INDEX(Register!$E$11:$E$510,MATCH($H243,Register!$J$11:$J$510,0))),INDEX(Register!$E$11:$E$510,MATCH($H243,Register!$J$11:$J$510,0))&amp;" mo",INDEX(Register!$E$11:$E$510,MATCH($H243,Register!$J$11:$J$510,0))&amp;""))</f>
        <v/>
      </c>
      <c r="F243" s="26" t="str">
        <f aca="false">IF($H243="","",INDEX(Register!$F$11:$F$510,MATCH($H243,Register!$J$11:$J$510,0)))</f>
        <v/>
      </c>
      <c r="G243" s="27" t="str">
        <f aca="false">IF($H243="","",IF(INDEX(Register!$G$11:$G$510,MATCH($H243,Register!$J$11:$J$510,0))="Check details","Check details: "&amp;INDEX(Register!$I$11:$I$510,MATCH($H243,Register!$J$11:$J$510,0)),INDEX(Register!$G$11:$G$510,MATCH($H243,Register!$J$11:$J$510,0))))</f>
        <v/>
      </c>
      <c r="H243" s="28" t="str">
        <f aca="false">IF(237&gt;COUNT(Register!$J$11:$J$510),"",SMALL(Register!$J$11:$J$510,237))</f>
        <v/>
      </c>
    </row>
    <row r="244" customFormat="false" ht="15" hidden="false" customHeight="false" outlineLevel="0" collapsed="false">
      <c r="A244" s="25" t="str">
        <f aca="false">IF($H244="","",INDEX(Register!$A$11:$A$510,MATCH($H244,Register!$J$11:$J$510,0))&amp;"")</f>
        <v/>
      </c>
      <c r="B244" s="25" t="str">
        <f aca="false">IF($H244="","",INDEX(Register!$B$11:$B$510,MATCH($H244,Register!$J$11:$J$510,0))&amp;"")</f>
        <v/>
      </c>
      <c r="C244" s="25" t="str">
        <f aca="false">IF($H244="","",INDEX(Register!$C$11:$C$510,MATCH($H244,Register!$J$11:$J$510,0))&amp;"")</f>
        <v/>
      </c>
      <c r="D244" s="26" t="str">
        <f aca="false">IF($H244="","",IF(ISNUMBER(INDEX(Register!$D$11:$D$510,MATCH($H244,Register!$J$11:$J$510,0))),INDEX(Register!$D$11:$D$510,MATCH($H244,Register!$J$11:$J$510,0)),INDEX(Register!$D$11:$D$510,MATCH($H244,Register!$J$11:$J$510,0))&amp;""))</f>
        <v/>
      </c>
      <c r="E244" s="25" t="str">
        <f aca="false">IF($H244="","",IF(ISNUMBER(INDEX(Register!$E$11:$E$510,MATCH($H244,Register!$J$11:$J$510,0))),INDEX(Register!$E$11:$E$510,MATCH($H244,Register!$J$11:$J$510,0))&amp;" mo",INDEX(Register!$E$11:$E$510,MATCH($H244,Register!$J$11:$J$510,0))&amp;""))</f>
        <v/>
      </c>
      <c r="F244" s="26" t="str">
        <f aca="false">IF($H244="","",INDEX(Register!$F$11:$F$510,MATCH($H244,Register!$J$11:$J$510,0)))</f>
        <v/>
      </c>
      <c r="G244" s="27" t="str">
        <f aca="false">IF($H244="","",IF(INDEX(Register!$G$11:$G$510,MATCH($H244,Register!$J$11:$J$510,0))="Check details","Check details: "&amp;INDEX(Register!$I$11:$I$510,MATCH($H244,Register!$J$11:$J$510,0)),INDEX(Register!$G$11:$G$510,MATCH($H244,Register!$J$11:$J$510,0))))</f>
        <v/>
      </c>
      <c r="H244" s="28" t="str">
        <f aca="false">IF(238&gt;COUNT(Register!$J$11:$J$510),"",SMALL(Register!$J$11:$J$510,238))</f>
        <v/>
      </c>
    </row>
    <row r="245" customFormat="false" ht="15" hidden="false" customHeight="false" outlineLevel="0" collapsed="false">
      <c r="A245" s="25" t="str">
        <f aca="false">IF($H245="","",INDEX(Register!$A$11:$A$510,MATCH($H245,Register!$J$11:$J$510,0))&amp;"")</f>
        <v/>
      </c>
      <c r="B245" s="25" t="str">
        <f aca="false">IF($H245="","",INDEX(Register!$B$11:$B$510,MATCH($H245,Register!$J$11:$J$510,0))&amp;"")</f>
        <v/>
      </c>
      <c r="C245" s="25" t="str">
        <f aca="false">IF($H245="","",INDEX(Register!$C$11:$C$510,MATCH($H245,Register!$J$11:$J$510,0))&amp;"")</f>
        <v/>
      </c>
      <c r="D245" s="26" t="str">
        <f aca="false">IF($H245="","",IF(ISNUMBER(INDEX(Register!$D$11:$D$510,MATCH($H245,Register!$J$11:$J$510,0))),INDEX(Register!$D$11:$D$510,MATCH($H245,Register!$J$11:$J$510,0)),INDEX(Register!$D$11:$D$510,MATCH($H245,Register!$J$11:$J$510,0))&amp;""))</f>
        <v/>
      </c>
      <c r="E245" s="25" t="str">
        <f aca="false">IF($H245="","",IF(ISNUMBER(INDEX(Register!$E$11:$E$510,MATCH($H245,Register!$J$11:$J$510,0))),INDEX(Register!$E$11:$E$510,MATCH($H245,Register!$J$11:$J$510,0))&amp;" mo",INDEX(Register!$E$11:$E$510,MATCH($H245,Register!$J$11:$J$510,0))&amp;""))</f>
        <v/>
      </c>
      <c r="F245" s="26" t="str">
        <f aca="false">IF($H245="","",INDEX(Register!$F$11:$F$510,MATCH($H245,Register!$J$11:$J$510,0)))</f>
        <v/>
      </c>
      <c r="G245" s="27" t="str">
        <f aca="false">IF($H245="","",IF(INDEX(Register!$G$11:$G$510,MATCH($H245,Register!$J$11:$J$510,0))="Check details","Check details: "&amp;INDEX(Register!$I$11:$I$510,MATCH($H245,Register!$J$11:$J$510,0)),INDEX(Register!$G$11:$G$510,MATCH($H245,Register!$J$11:$J$510,0))))</f>
        <v/>
      </c>
      <c r="H245" s="28" t="str">
        <f aca="false">IF(239&gt;COUNT(Register!$J$11:$J$510),"",SMALL(Register!$J$11:$J$510,239))</f>
        <v/>
      </c>
    </row>
    <row r="246" customFormat="false" ht="15" hidden="false" customHeight="false" outlineLevel="0" collapsed="false">
      <c r="A246" s="25" t="str">
        <f aca="false">IF($H246="","",INDEX(Register!$A$11:$A$510,MATCH($H246,Register!$J$11:$J$510,0))&amp;"")</f>
        <v/>
      </c>
      <c r="B246" s="25" t="str">
        <f aca="false">IF($H246="","",INDEX(Register!$B$11:$B$510,MATCH($H246,Register!$J$11:$J$510,0))&amp;"")</f>
        <v/>
      </c>
      <c r="C246" s="25" t="str">
        <f aca="false">IF($H246="","",INDEX(Register!$C$11:$C$510,MATCH($H246,Register!$J$11:$J$510,0))&amp;"")</f>
        <v/>
      </c>
      <c r="D246" s="26" t="str">
        <f aca="false">IF($H246="","",IF(ISNUMBER(INDEX(Register!$D$11:$D$510,MATCH($H246,Register!$J$11:$J$510,0))),INDEX(Register!$D$11:$D$510,MATCH($H246,Register!$J$11:$J$510,0)),INDEX(Register!$D$11:$D$510,MATCH($H246,Register!$J$11:$J$510,0))&amp;""))</f>
        <v/>
      </c>
      <c r="E246" s="25" t="str">
        <f aca="false">IF($H246="","",IF(ISNUMBER(INDEX(Register!$E$11:$E$510,MATCH($H246,Register!$J$11:$J$510,0))),INDEX(Register!$E$11:$E$510,MATCH($H246,Register!$J$11:$J$510,0))&amp;" mo",INDEX(Register!$E$11:$E$510,MATCH($H246,Register!$J$11:$J$510,0))&amp;""))</f>
        <v/>
      </c>
      <c r="F246" s="26" t="str">
        <f aca="false">IF($H246="","",INDEX(Register!$F$11:$F$510,MATCH($H246,Register!$J$11:$J$510,0)))</f>
        <v/>
      </c>
      <c r="G246" s="27" t="str">
        <f aca="false">IF($H246="","",IF(INDEX(Register!$G$11:$G$510,MATCH($H246,Register!$J$11:$J$510,0))="Check details","Check details: "&amp;INDEX(Register!$I$11:$I$510,MATCH($H246,Register!$J$11:$J$510,0)),INDEX(Register!$G$11:$G$510,MATCH($H246,Register!$J$11:$J$510,0))))</f>
        <v/>
      </c>
      <c r="H246" s="28" t="str">
        <f aca="false">IF(240&gt;COUNT(Register!$J$11:$J$510),"",SMALL(Register!$J$11:$J$510,240))</f>
        <v/>
      </c>
    </row>
    <row r="247" customFormat="false" ht="15" hidden="false" customHeight="false" outlineLevel="0" collapsed="false">
      <c r="A247" s="25" t="str">
        <f aca="false">IF($H247="","",INDEX(Register!$A$11:$A$510,MATCH($H247,Register!$J$11:$J$510,0))&amp;"")</f>
        <v/>
      </c>
      <c r="B247" s="25" t="str">
        <f aca="false">IF($H247="","",INDEX(Register!$B$11:$B$510,MATCH($H247,Register!$J$11:$J$510,0))&amp;"")</f>
        <v/>
      </c>
      <c r="C247" s="25" t="str">
        <f aca="false">IF($H247="","",INDEX(Register!$C$11:$C$510,MATCH($H247,Register!$J$11:$J$510,0))&amp;"")</f>
        <v/>
      </c>
      <c r="D247" s="26" t="str">
        <f aca="false">IF($H247="","",IF(ISNUMBER(INDEX(Register!$D$11:$D$510,MATCH($H247,Register!$J$11:$J$510,0))),INDEX(Register!$D$11:$D$510,MATCH($H247,Register!$J$11:$J$510,0)),INDEX(Register!$D$11:$D$510,MATCH($H247,Register!$J$11:$J$510,0))&amp;""))</f>
        <v/>
      </c>
      <c r="E247" s="25" t="str">
        <f aca="false">IF($H247="","",IF(ISNUMBER(INDEX(Register!$E$11:$E$510,MATCH($H247,Register!$J$11:$J$510,0))),INDEX(Register!$E$11:$E$510,MATCH($H247,Register!$J$11:$J$510,0))&amp;" mo",INDEX(Register!$E$11:$E$510,MATCH($H247,Register!$J$11:$J$510,0))&amp;""))</f>
        <v/>
      </c>
      <c r="F247" s="26" t="str">
        <f aca="false">IF($H247="","",INDEX(Register!$F$11:$F$510,MATCH($H247,Register!$J$11:$J$510,0)))</f>
        <v/>
      </c>
      <c r="G247" s="27" t="str">
        <f aca="false">IF($H247="","",IF(INDEX(Register!$G$11:$G$510,MATCH($H247,Register!$J$11:$J$510,0))="Check details","Check details: "&amp;INDEX(Register!$I$11:$I$510,MATCH($H247,Register!$J$11:$J$510,0)),INDEX(Register!$G$11:$G$510,MATCH($H247,Register!$J$11:$J$510,0))))</f>
        <v/>
      </c>
      <c r="H247" s="28" t="str">
        <f aca="false">IF(241&gt;COUNT(Register!$J$11:$J$510),"",SMALL(Register!$J$11:$J$510,241))</f>
        <v/>
      </c>
    </row>
    <row r="248" customFormat="false" ht="15" hidden="false" customHeight="false" outlineLevel="0" collapsed="false">
      <c r="A248" s="25" t="str">
        <f aca="false">IF($H248="","",INDEX(Register!$A$11:$A$510,MATCH($H248,Register!$J$11:$J$510,0))&amp;"")</f>
        <v/>
      </c>
      <c r="B248" s="25" t="str">
        <f aca="false">IF($H248="","",INDEX(Register!$B$11:$B$510,MATCH($H248,Register!$J$11:$J$510,0))&amp;"")</f>
        <v/>
      </c>
      <c r="C248" s="25" t="str">
        <f aca="false">IF($H248="","",INDEX(Register!$C$11:$C$510,MATCH($H248,Register!$J$11:$J$510,0))&amp;"")</f>
        <v/>
      </c>
      <c r="D248" s="26" t="str">
        <f aca="false">IF($H248="","",IF(ISNUMBER(INDEX(Register!$D$11:$D$510,MATCH($H248,Register!$J$11:$J$510,0))),INDEX(Register!$D$11:$D$510,MATCH($H248,Register!$J$11:$J$510,0)),INDEX(Register!$D$11:$D$510,MATCH($H248,Register!$J$11:$J$510,0))&amp;""))</f>
        <v/>
      </c>
      <c r="E248" s="25" t="str">
        <f aca="false">IF($H248="","",IF(ISNUMBER(INDEX(Register!$E$11:$E$510,MATCH($H248,Register!$J$11:$J$510,0))),INDEX(Register!$E$11:$E$510,MATCH($H248,Register!$J$11:$J$510,0))&amp;" mo",INDEX(Register!$E$11:$E$510,MATCH($H248,Register!$J$11:$J$510,0))&amp;""))</f>
        <v/>
      </c>
      <c r="F248" s="26" t="str">
        <f aca="false">IF($H248="","",INDEX(Register!$F$11:$F$510,MATCH($H248,Register!$J$11:$J$510,0)))</f>
        <v/>
      </c>
      <c r="G248" s="27" t="str">
        <f aca="false">IF($H248="","",IF(INDEX(Register!$G$11:$G$510,MATCH($H248,Register!$J$11:$J$510,0))="Check details","Check details: "&amp;INDEX(Register!$I$11:$I$510,MATCH($H248,Register!$J$11:$J$510,0)),INDEX(Register!$G$11:$G$510,MATCH($H248,Register!$J$11:$J$510,0))))</f>
        <v/>
      </c>
      <c r="H248" s="28" t="str">
        <f aca="false">IF(242&gt;COUNT(Register!$J$11:$J$510),"",SMALL(Register!$J$11:$J$510,242))</f>
        <v/>
      </c>
    </row>
    <row r="249" customFormat="false" ht="15" hidden="false" customHeight="false" outlineLevel="0" collapsed="false">
      <c r="A249" s="25" t="str">
        <f aca="false">IF($H249="","",INDEX(Register!$A$11:$A$510,MATCH($H249,Register!$J$11:$J$510,0))&amp;"")</f>
        <v/>
      </c>
      <c r="B249" s="25" t="str">
        <f aca="false">IF($H249="","",INDEX(Register!$B$11:$B$510,MATCH($H249,Register!$J$11:$J$510,0))&amp;"")</f>
        <v/>
      </c>
      <c r="C249" s="25" t="str">
        <f aca="false">IF($H249="","",INDEX(Register!$C$11:$C$510,MATCH($H249,Register!$J$11:$J$510,0))&amp;"")</f>
        <v/>
      </c>
      <c r="D249" s="26" t="str">
        <f aca="false">IF($H249="","",IF(ISNUMBER(INDEX(Register!$D$11:$D$510,MATCH($H249,Register!$J$11:$J$510,0))),INDEX(Register!$D$11:$D$510,MATCH($H249,Register!$J$11:$J$510,0)),INDEX(Register!$D$11:$D$510,MATCH($H249,Register!$J$11:$J$510,0))&amp;""))</f>
        <v/>
      </c>
      <c r="E249" s="25" t="str">
        <f aca="false">IF($H249="","",IF(ISNUMBER(INDEX(Register!$E$11:$E$510,MATCH($H249,Register!$J$11:$J$510,0))),INDEX(Register!$E$11:$E$510,MATCH($H249,Register!$J$11:$J$510,0))&amp;" mo",INDEX(Register!$E$11:$E$510,MATCH($H249,Register!$J$11:$J$510,0))&amp;""))</f>
        <v/>
      </c>
      <c r="F249" s="26" t="str">
        <f aca="false">IF($H249="","",INDEX(Register!$F$11:$F$510,MATCH($H249,Register!$J$11:$J$510,0)))</f>
        <v/>
      </c>
      <c r="G249" s="27" t="str">
        <f aca="false">IF($H249="","",IF(INDEX(Register!$G$11:$G$510,MATCH($H249,Register!$J$11:$J$510,0))="Check details","Check details: "&amp;INDEX(Register!$I$11:$I$510,MATCH($H249,Register!$J$11:$J$510,0)),INDEX(Register!$G$11:$G$510,MATCH($H249,Register!$J$11:$J$510,0))))</f>
        <v/>
      </c>
      <c r="H249" s="28" t="str">
        <f aca="false">IF(243&gt;COUNT(Register!$J$11:$J$510),"",SMALL(Register!$J$11:$J$510,243))</f>
        <v/>
      </c>
    </row>
    <row r="250" customFormat="false" ht="15" hidden="false" customHeight="false" outlineLevel="0" collapsed="false">
      <c r="A250" s="25" t="str">
        <f aca="false">IF($H250="","",INDEX(Register!$A$11:$A$510,MATCH($H250,Register!$J$11:$J$510,0))&amp;"")</f>
        <v/>
      </c>
      <c r="B250" s="25" t="str">
        <f aca="false">IF($H250="","",INDEX(Register!$B$11:$B$510,MATCH($H250,Register!$J$11:$J$510,0))&amp;"")</f>
        <v/>
      </c>
      <c r="C250" s="25" t="str">
        <f aca="false">IF($H250="","",INDEX(Register!$C$11:$C$510,MATCH($H250,Register!$J$11:$J$510,0))&amp;"")</f>
        <v/>
      </c>
      <c r="D250" s="26" t="str">
        <f aca="false">IF($H250="","",IF(ISNUMBER(INDEX(Register!$D$11:$D$510,MATCH($H250,Register!$J$11:$J$510,0))),INDEX(Register!$D$11:$D$510,MATCH($H250,Register!$J$11:$J$510,0)),INDEX(Register!$D$11:$D$510,MATCH($H250,Register!$J$11:$J$510,0))&amp;""))</f>
        <v/>
      </c>
      <c r="E250" s="25" t="str">
        <f aca="false">IF($H250="","",IF(ISNUMBER(INDEX(Register!$E$11:$E$510,MATCH($H250,Register!$J$11:$J$510,0))),INDEX(Register!$E$11:$E$510,MATCH($H250,Register!$J$11:$J$510,0))&amp;" mo",INDEX(Register!$E$11:$E$510,MATCH($H250,Register!$J$11:$J$510,0))&amp;""))</f>
        <v/>
      </c>
      <c r="F250" s="26" t="str">
        <f aca="false">IF($H250="","",INDEX(Register!$F$11:$F$510,MATCH($H250,Register!$J$11:$J$510,0)))</f>
        <v/>
      </c>
      <c r="G250" s="27" t="str">
        <f aca="false">IF($H250="","",IF(INDEX(Register!$G$11:$G$510,MATCH($H250,Register!$J$11:$J$510,0))="Check details","Check details: "&amp;INDEX(Register!$I$11:$I$510,MATCH($H250,Register!$J$11:$J$510,0)),INDEX(Register!$G$11:$G$510,MATCH($H250,Register!$J$11:$J$510,0))))</f>
        <v/>
      </c>
      <c r="H250" s="28" t="str">
        <f aca="false">IF(244&gt;COUNT(Register!$J$11:$J$510),"",SMALL(Register!$J$11:$J$510,244))</f>
        <v/>
      </c>
    </row>
    <row r="251" customFormat="false" ht="15" hidden="false" customHeight="false" outlineLevel="0" collapsed="false">
      <c r="A251" s="25" t="str">
        <f aca="false">IF($H251="","",INDEX(Register!$A$11:$A$510,MATCH($H251,Register!$J$11:$J$510,0))&amp;"")</f>
        <v/>
      </c>
      <c r="B251" s="25" t="str">
        <f aca="false">IF($H251="","",INDEX(Register!$B$11:$B$510,MATCH($H251,Register!$J$11:$J$510,0))&amp;"")</f>
        <v/>
      </c>
      <c r="C251" s="25" t="str">
        <f aca="false">IF($H251="","",INDEX(Register!$C$11:$C$510,MATCH($H251,Register!$J$11:$J$510,0))&amp;"")</f>
        <v/>
      </c>
      <c r="D251" s="26" t="str">
        <f aca="false">IF($H251="","",IF(ISNUMBER(INDEX(Register!$D$11:$D$510,MATCH($H251,Register!$J$11:$J$510,0))),INDEX(Register!$D$11:$D$510,MATCH($H251,Register!$J$11:$J$510,0)),INDEX(Register!$D$11:$D$510,MATCH($H251,Register!$J$11:$J$510,0))&amp;""))</f>
        <v/>
      </c>
      <c r="E251" s="25" t="str">
        <f aca="false">IF($H251="","",IF(ISNUMBER(INDEX(Register!$E$11:$E$510,MATCH($H251,Register!$J$11:$J$510,0))),INDEX(Register!$E$11:$E$510,MATCH($H251,Register!$J$11:$J$510,0))&amp;" mo",INDEX(Register!$E$11:$E$510,MATCH($H251,Register!$J$11:$J$510,0))&amp;""))</f>
        <v/>
      </c>
      <c r="F251" s="26" t="str">
        <f aca="false">IF($H251="","",INDEX(Register!$F$11:$F$510,MATCH($H251,Register!$J$11:$J$510,0)))</f>
        <v/>
      </c>
      <c r="G251" s="27" t="str">
        <f aca="false">IF($H251="","",IF(INDEX(Register!$G$11:$G$510,MATCH($H251,Register!$J$11:$J$510,0))="Check details","Check details: "&amp;INDEX(Register!$I$11:$I$510,MATCH($H251,Register!$J$11:$J$510,0)),INDEX(Register!$G$11:$G$510,MATCH($H251,Register!$J$11:$J$510,0))))</f>
        <v/>
      </c>
      <c r="H251" s="28" t="str">
        <f aca="false">IF(245&gt;COUNT(Register!$J$11:$J$510),"",SMALL(Register!$J$11:$J$510,245))</f>
        <v/>
      </c>
    </row>
    <row r="252" customFormat="false" ht="15" hidden="false" customHeight="false" outlineLevel="0" collapsed="false">
      <c r="A252" s="25" t="str">
        <f aca="false">IF($H252="","",INDEX(Register!$A$11:$A$510,MATCH($H252,Register!$J$11:$J$510,0))&amp;"")</f>
        <v/>
      </c>
      <c r="B252" s="25" t="str">
        <f aca="false">IF($H252="","",INDEX(Register!$B$11:$B$510,MATCH($H252,Register!$J$11:$J$510,0))&amp;"")</f>
        <v/>
      </c>
      <c r="C252" s="25" t="str">
        <f aca="false">IF($H252="","",INDEX(Register!$C$11:$C$510,MATCH($H252,Register!$J$11:$J$510,0))&amp;"")</f>
        <v/>
      </c>
      <c r="D252" s="26" t="str">
        <f aca="false">IF($H252="","",IF(ISNUMBER(INDEX(Register!$D$11:$D$510,MATCH($H252,Register!$J$11:$J$510,0))),INDEX(Register!$D$11:$D$510,MATCH($H252,Register!$J$11:$J$510,0)),INDEX(Register!$D$11:$D$510,MATCH($H252,Register!$J$11:$J$510,0))&amp;""))</f>
        <v/>
      </c>
      <c r="E252" s="25" t="str">
        <f aca="false">IF($H252="","",IF(ISNUMBER(INDEX(Register!$E$11:$E$510,MATCH($H252,Register!$J$11:$J$510,0))),INDEX(Register!$E$11:$E$510,MATCH($H252,Register!$J$11:$J$510,0))&amp;" mo",INDEX(Register!$E$11:$E$510,MATCH($H252,Register!$J$11:$J$510,0))&amp;""))</f>
        <v/>
      </c>
      <c r="F252" s="26" t="str">
        <f aca="false">IF($H252="","",INDEX(Register!$F$11:$F$510,MATCH($H252,Register!$J$11:$J$510,0)))</f>
        <v/>
      </c>
      <c r="G252" s="27" t="str">
        <f aca="false">IF($H252="","",IF(INDEX(Register!$G$11:$G$510,MATCH($H252,Register!$J$11:$J$510,0))="Check details","Check details: "&amp;INDEX(Register!$I$11:$I$510,MATCH($H252,Register!$J$11:$J$510,0)),INDEX(Register!$G$11:$G$510,MATCH($H252,Register!$J$11:$J$510,0))))</f>
        <v/>
      </c>
      <c r="H252" s="28" t="str">
        <f aca="false">IF(246&gt;COUNT(Register!$J$11:$J$510),"",SMALL(Register!$J$11:$J$510,246))</f>
        <v/>
      </c>
    </row>
    <row r="253" customFormat="false" ht="15" hidden="false" customHeight="false" outlineLevel="0" collapsed="false">
      <c r="A253" s="25" t="str">
        <f aca="false">IF($H253="","",INDEX(Register!$A$11:$A$510,MATCH($H253,Register!$J$11:$J$510,0))&amp;"")</f>
        <v/>
      </c>
      <c r="B253" s="25" t="str">
        <f aca="false">IF($H253="","",INDEX(Register!$B$11:$B$510,MATCH($H253,Register!$J$11:$J$510,0))&amp;"")</f>
        <v/>
      </c>
      <c r="C253" s="25" t="str">
        <f aca="false">IF($H253="","",INDEX(Register!$C$11:$C$510,MATCH($H253,Register!$J$11:$J$510,0))&amp;"")</f>
        <v/>
      </c>
      <c r="D253" s="26" t="str">
        <f aca="false">IF($H253="","",IF(ISNUMBER(INDEX(Register!$D$11:$D$510,MATCH($H253,Register!$J$11:$J$510,0))),INDEX(Register!$D$11:$D$510,MATCH($H253,Register!$J$11:$J$510,0)),INDEX(Register!$D$11:$D$510,MATCH($H253,Register!$J$11:$J$510,0))&amp;""))</f>
        <v/>
      </c>
      <c r="E253" s="25" t="str">
        <f aca="false">IF($H253="","",IF(ISNUMBER(INDEX(Register!$E$11:$E$510,MATCH($H253,Register!$J$11:$J$510,0))),INDEX(Register!$E$11:$E$510,MATCH($H253,Register!$J$11:$J$510,0))&amp;" mo",INDEX(Register!$E$11:$E$510,MATCH($H253,Register!$J$11:$J$510,0))&amp;""))</f>
        <v/>
      </c>
      <c r="F253" s="26" t="str">
        <f aca="false">IF($H253="","",INDEX(Register!$F$11:$F$510,MATCH($H253,Register!$J$11:$J$510,0)))</f>
        <v/>
      </c>
      <c r="G253" s="27" t="str">
        <f aca="false">IF($H253="","",IF(INDEX(Register!$G$11:$G$510,MATCH($H253,Register!$J$11:$J$510,0))="Check details","Check details: "&amp;INDEX(Register!$I$11:$I$510,MATCH($H253,Register!$J$11:$J$510,0)),INDEX(Register!$G$11:$G$510,MATCH($H253,Register!$J$11:$J$510,0))))</f>
        <v/>
      </c>
      <c r="H253" s="28" t="str">
        <f aca="false">IF(247&gt;COUNT(Register!$J$11:$J$510),"",SMALL(Register!$J$11:$J$510,247))</f>
        <v/>
      </c>
    </row>
    <row r="254" customFormat="false" ht="15" hidden="false" customHeight="false" outlineLevel="0" collapsed="false">
      <c r="A254" s="25" t="str">
        <f aca="false">IF($H254="","",INDEX(Register!$A$11:$A$510,MATCH($H254,Register!$J$11:$J$510,0))&amp;"")</f>
        <v/>
      </c>
      <c r="B254" s="25" t="str">
        <f aca="false">IF($H254="","",INDEX(Register!$B$11:$B$510,MATCH($H254,Register!$J$11:$J$510,0))&amp;"")</f>
        <v/>
      </c>
      <c r="C254" s="25" t="str">
        <f aca="false">IF($H254="","",INDEX(Register!$C$11:$C$510,MATCH($H254,Register!$J$11:$J$510,0))&amp;"")</f>
        <v/>
      </c>
      <c r="D254" s="26" t="str">
        <f aca="false">IF($H254="","",IF(ISNUMBER(INDEX(Register!$D$11:$D$510,MATCH($H254,Register!$J$11:$J$510,0))),INDEX(Register!$D$11:$D$510,MATCH($H254,Register!$J$11:$J$510,0)),INDEX(Register!$D$11:$D$510,MATCH($H254,Register!$J$11:$J$510,0))&amp;""))</f>
        <v/>
      </c>
      <c r="E254" s="25" t="str">
        <f aca="false">IF($H254="","",IF(ISNUMBER(INDEX(Register!$E$11:$E$510,MATCH($H254,Register!$J$11:$J$510,0))),INDEX(Register!$E$11:$E$510,MATCH($H254,Register!$J$11:$J$510,0))&amp;" mo",INDEX(Register!$E$11:$E$510,MATCH($H254,Register!$J$11:$J$510,0))&amp;""))</f>
        <v/>
      </c>
      <c r="F254" s="26" t="str">
        <f aca="false">IF($H254="","",INDEX(Register!$F$11:$F$510,MATCH($H254,Register!$J$11:$J$510,0)))</f>
        <v/>
      </c>
      <c r="G254" s="27" t="str">
        <f aca="false">IF($H254="","",IF(INDEX(Register!$G$11:$G$510,MATCH($H254,Register!$J$11:$J$510,0))="Check details","Check details: "&amp;INDEX(Register!$I$11:$I$510,MATCH($H254,Register!$J$11:$J$510,0)),INDEX(Register!$G$11:$G$510,MATCH($H254,Register!$J$11:$J$510,0))))</f>
        <v/>
      </c>
      <c r="H254" s="28" t="str">
        <f aca="false">IF(248&gt;COUNT(Register!$J$11:$J$510),"",SMALL(Register!$J$11:$J$510,248))</f>
        <v/>
      </c>
    </row>
    <row r="255" customFormat="false" ht="15" hidden="false" customHeight="false" outlineLevel="0" collapsed="false">
      <c r="A255" s="25" t="str">
        <f aca="false">IF($H255="","",INDEX(Register!$A$11:$A$510,MATCH($H255,Register!$J$11:$J$510,0))&amp;"")</f>
        <v/>
      </c>
      <c r="B255" s="25" t="str">
        <f aca="false">IF($H255="","",INDEX(Register!$B$11:$B$510,MATCH($H255,Register!$J$11:$J$510,0))&amp;"")</f>
        <v/>
      </c>
      <c r="C255" s="25" t="str">
        <f aca="false">IF($H255="","",INDEX(Register!$C$11:$C$510,MATCH($H255,Register!$J$11:$J$510,0))&amp;"")</f>
        <v/>
      </c>
      <c r="D255" s="26" t="str">
        <f aca="false">IF($H255="","",IF(ISNUMBER(INDEX(Register!$D$11:$D$510,MATCH($H255,Register!$J$11:$J$510,0))),INDEX(Register!$D$11:$D$510,MATCH($H255,Register!$J$11:$J$510,0)),INDEX(Register!$D$11:$D$510,MATCH($H255,Register!$J$11:$J$510,0))&amp;""))</f>
        <v/>
      </c>
      <c r="E255" s="25" t="str">
        <f aca="false">IF($H255="","",IF(ISNUMBER(INDEX(Register!$E$11:$E$510,MATCH($H255,Register!$J$11:$J$510,0))),INDEX(Register!$E$11:$E$510,MATCH($H255,Register!$J$11:$J$510,0))&amp;" mo",INDEX(Register!$E$11:$E$510,MATCH($H255,Register!$J$11:$J$510,0))&amp;""))</f>
        <v/>
      </c>
      <c r="F255" s="26" t="str">
        <f aca="false">IF($H255="","",INDEX(Register!$F$11:$F$510,MATCH($H255,Register!$J$11:$J$510,0)))</f>
        <v/>
      </c>
      <c r="G255" s="27" t="str">
        <f aca="false">IF($H255="","",IF(INDEX(Register!$G$11:$G$510,MATCH($H255,Register!$J$11:$J$510,0))="Check details","Check details: "&amp;INDEX(Register!$I$11:$I$510,MATCH($H255,Register!$J$11:$J$510,0)),INDEX(Register!$G$11:$G$510,MATCH($H255,Register!$J$11:$J$510,0))))</f>
        <v/>
      </c>
      <c r="H255" s="28" t="str">
        <f aca="false">IF(249&gt;COUNT(Register!$J$11:$J$510),"",SMALL(Register!$J$11:$J$510,249))</f>
        <v/>
      </c>
    </row>
    <row r="256" customFormat="false" ht="15" hidden="false" customHeight="false" outlineLevel="0" collapsed="false">
      <c r="A256" s="25" t="str">
        <f aca="false">IF($H256="","",INDEX(Register!$A$11:$A$510,MATCH($H256,Register!$J$11:$J$510,0))&amp;"")</f>
        <v/>
      </c>
      <c r="B256" s="25" t="str">
        <f aca="false">IF($H256="","",INDEX(Register!$B$11:$B$510,MATCH($H256,Register!$J$11:$J$510,0))&amp;"")</f>
        <v/>
      </c>
      <c r="C256" s="25" t="str">
        <f aca="false">IF($H256="","",INDEX(Register!$C$11:$C$510,MATCH($H256,Register!$J$11:$J$510,0))&amp;"")</f>
        <v/>
      </c>
      <c r="D256" s="26" t="str">
        <f aca="false">IF($H256="","",IF(ISNUMBER(INDEX(Register!$D$11:$D$510,MATCH($H256,Register!$J$11:$J$510,0))),INDEX(Register!$D$11:$D$510,MATCH($H256,Register!$J$11:$J$510,0)),INDEX(Register!$D$11:$D$510,MATCH($H256,Register!$J$11:$J$510,0))&amp;""))</f>
        <v/>
      </c>
      <c r="E256" s="25" t="str">
        <f aca="false">IF($H256="","",IF(ISNUMBER(INDEX(Register!$E$11:$E$510,MATCH($H256,Register!$J$11:$J$510,0))),INDEX(Register!$E$11:$E$510,MATCH($H256,Register!$J$11:$J$510,0))&amp;" mo",INDEX(Register!$E$11:$E$510,MATCH($H256,Register!$J$11:$J$510,0))&amp;""))</f>
        <v/>
      </c>
      <c r="F256" s="26" t="str">
        <f aca="false">IF($H256="","",INDEX(Register!$F$11:$F$510,MATCH($H256,Register!$J$11:$J$510,0)))</f>
        <v/>
      </c>
      <c r="G256" s="27" t="str">
        <f aca="false">IF($H256="","",IF(INDEX(Register!$G$11:$G$510,MATCH($H256,Register!$J$11:$J$510,0))="Check details","Check details: "&amp;INDEX(Register!$I$11:$I$510,MATCH($H256,Register!$J$11:$J$510,0)),INDEX(Register!$G$11:$G$510,MATCH($H256,Register!$J$11:$J$510,0))))</f>
        <v/>
      </c>
      <c r="H256" s="28" t="str">
        <f aca="false">IF(250&gt;COUNT(Register!$J$11:$J$510),"",SMALL(Register!$J$11:$J$510,250))</f>
        <v/>
      </c>
    </row>
    <row r="257" customFormat="false" ht="15" hidden="false" customHeight="false" outlineLevel="0" collapsed="false">
      <c r="A257" s="25" t="str">
        <f aca="false">IF($H257="","",INDEX(Register!$A$11:$A$510,MATCH($H257,Register!$J$11:$J$510,0))&amp;"")</f>
        <v/>
      </c>
      <c r="B257" s="25" t="str">
        <f aca="false">IF($H257="","",INDEX(Register!$B$11:$B$510,MATCH($H257,Register!$J$11:$J$510,0))&amp;"")</f>
        <v/>
      </c>
      <c r="C257" s="25" t="str">
        <f aca="false">IF($H257="","",INDEX(Register!$C$11:$C$510,MATCH($H257,Register!$J$11:$J$510,0))&amp;"")</f>
        <v/>
      </c>
      <c r="D257" s="26" t="str">
        <f aca="false">IF($H257="","",IF(ISNUMBER(INDEX(Register!$D$11:$D$510,MATCH($H257,Register!$J$11:$J$510,0))),INDEX(Register!$D$11:$D$510,MATCH($H257,Register!$J$11:$J$510,0)),INDEX(Register!$D$11:$D$510,MATCH($H257,Register!$J$11:$J$510,0))&amp;""))</f>
        <v/>
      </c>
      <c r="E257" s="25" t="str">
        <f aca="false">IF($H257="","",IF(ISNUMBER(INDEX(Register!$E$11:$E$510,MATCH($H257,Register!$J$11:$J$510,0))),INDEX(Register!$E$11:$E$510,MATCH($H257,Register!$J$11:$J$510,0))&amp;" mo",INDEX(Register!$E$11:$E$510,MATCH($H257,Register!$J$11:$J$510,0))&amp;""))</f>
        <v/>
      </c>
      <c r="F257" s="26" t="str">
        <f aca="false">IF($H257="","",INDEX(Register!$F$11:$F$510,MATCH($H257,Register!$J$11:$J$510,0)))</f>
        <v/>
      </c>
      <c r="G257" s="27" t="str">
        <f aca="false">IF($H257="","",IF(INDEX(Register!$G$11:$G$510,MATCH($H257,Register!$J$11:$J$510,0))="Check details","Check details: "&amp;INDEX(Register!$I$11:$I$510,MATCH($H257,Register!$J$11:$J$510,0)),INDEX(Register!$G$11:$G$510,MATCH($H257,Register!$J$11:$J$510,0))))</f>
        <v/>
      </c>
      <c r="H257" s="28" t="str">
        <f aca="false">IF(251&gt;COUNT(Register!$J$11:$J$510),"",SMALL(Register!$J$11:$J$510,251))</f>
        <v/>
      </c>
    </row>
    <row r="258" customFormat="false" ht="15" hidden="false" customHeight="false" outlineLevel="0" collapsed="false">
      <c r="A258" s="25" t="str">
        <f aca="false">IF($H258="","",INDEX(Register!$A$11:$A$510,MATCH($H258,Register!$J$11:$J$510,0))&amp;"")</f>
        <v/>
      </c>
      <c r="B258" s="25" t="str">
        <f aca="false">IF($H258="","",INDEX(Register!$B$11:$B$510,MATCH($H258,Register!$J$11:$J$510,0))&amp;"")</f>
        <v/>
      </c>
      <c r="C258" s="25" t="str">
        <f aca="false">IF($H258="","",INDEX(Register!$C$11:$C$510,MATCH($H258,Register!$J$11:$J$510,0))&amp;"")</f>
        <v/>
      </c>
      <c r="D258" s="26" t="str">
        <f aca="false">IF($H258="","",IF(ISNUMBER(INDEX(Register!$D$11:$D$510,MATCH($H258,Register!$J$11:$J$510,0))),INDEX(Register!$D$11:$D$510,MATCH($H258,Register!$J$11:$J$510,0)),INDEX(Register!$D$11:$D$510,MATCH($H258,Register!$J$11:$J$510,0))&amp;""))</f>
        <v/>
      </c>
      <c r="E258" s="25" t="str">
        <f aca="false">IF($H258="","",IF(ISNUMBER(INDEX(Register!$E$11:$E$510,MATCH($H258,Register!$J$11:$J$510,0))),INDEX(Register!$E$11:$E$510,MATCH($H258,Register!$J$11:$J$510,0))&amp;" mo",INDEX(Register!$E$11:$E$510,MATCH($H258,Register!$J$11:$J$510,0))&amp;""))</f>
        <v/>
      </c>
      <c r="F258" s="26" t="str">
        <f aca="false">IF($H258="","",INDEX(Register!$F$11:$F$510,MATCH($H258,Register!$J$11:$J$510,0)))</f>
        <v/>
      </c>
      <c r="G258" s="27" t="str">
        <f aca="false">IF($H258="","",IF(INDEX(Register!$G$11:$G$510,MATCH($H258,Register!$J$11:$J$510,0))="Check details","Check details: "&amp;INDEX(Register!$I$11:$I$510,MATCH($H258,Register!$J$11:$J$510,0)),INDEX(Register!$G$11:$G$510,MATCH($H258,Register!$J$11:$J$510,0))))</f>
        <v/>
      </c>
      <c r="H258" s="28" t="str">
        <f aca="false">IF(252&gt;COUNT(Register!$J$11:$J$510),"",SMALL(Register!$J$11:$J$510,252))</f>
        <v/>
      </c>
    </row>
    <row r="259" customFormat="false" ht="15" hidden="false" customHeight="false" outlineLevel="0" collapsed="false">
      <c r="A259" s="25" t="str">
        <f aca="false">IF($H259="","",INDEX(Register!$A$11:$A$510,MATCH($H259,Register!$J$11:$J$510,0))&amp;"")</f>
        <v/>
      </c>
      <c r="B259" s="25" t="str">
        <f aca="false">IF($H259="","",INDEX(Register!$B$11:$B$510,MATCH($H259,Register!$J$11:$J$510,0))&amp;"")</f>
        <v/>
      </c>
      <c r="C259" s="25" t="str">
        <f aca="false">IF($H259="","",INDEX(Register!$C$11:$C$510,MATCH($H259,Register!$J$11:$J$510,0))&amp;"")</f>
        <v/>
      </c>
      <c r="D259" s="26" t="str">
        <f aca="false">IF($H259="","",IF(ISNUMBER(INDEX(Register!$D$11:$D$510,MATCH($H259,Register!$J$11:$J$510,0))),INDEX(Register!$D$11:$D$510,MATCH($H259,Register!$J$11:$J$510,0)),INDEX(Register!$D$11:$D$510,MATCH($H259,Register!$J$11:$J$510,0))&amp;""))</f>
        <v/>
      </c>
      <c r="E259" s="25" t="str">
        <f aca="false">IF($H259="","",IF(ISNUMBER(INDEX(Register!$E$11:$E$510,MATCH($H259,Register!$J$11:$J$510,0))),INDEX(Register!$E$11:$E$510,MATCH($H259,Register!$J$11:$J$510,0))&amp;" mo",INDEX(Register!$E$11:$E$510,MATCH($H259,Register!$J$11:$J$510,0))&amp;""))</f>
        <v/>
      </c>
      <c r="F259" s="26" t="str">
        <f aca="false">IF($H259="","",INDEX(Register!$F$11:$F$510,MATCH($H259,Register!$J$11:$J$510,0)))</f>
        <v/>
      </c>
      <c r="G259" s="27" t="str">
        <f aca="false">IF($H259="","",IF(INDEX(Register!$G$11:$G$510,MATCH($H259,Register!$J$11:$J$510,0))="Check details","Check details: "&amp;INDEX(Register!$I$11:$I$510,MATCH($H259,Register!$J$11:$J$510,0)),INDEX(Register!$G$11:$G$510,MATCH($H259,Register!$J$11:$J$510,0))))</f>
        <v/>
      </c>
      <c r="H259" s="28" t="str">
        <f aca="false">IF(253&gt;COUNT(Register!$J$11:$J$510),"",SMALL(Register!$J$11:$J$510,253))</f>
        <v/>
      </c>
    </row>
    <row r="260" customFormat="false" ht="15" hidden="false" customHeight="false" outlineLevel="0" collapsed="false">
      <c r="A260" s="25" t="str">
        <f aca="false">IF($H260="","",INDEX(Register!$A$11:$A$510,MATCH($H260,Register!$J$11:$J$510,0))&amp;"")</f>
        <v/>
      </c>
      <c r="B260" s="25" t="str">
        <f aca="false">IF($H260="","",INDEX(Register!$B$11:$B$510,MATCH($H260,Register!$J$11:$J$510,0))&amp;"")</f>
        <v/>
      </c>
      <c r="C260" s="25" t="str">
        <f aca="false">IF($H260="","",INDEX(Register!$C$11:$C$510,MATCH($H260,Register!$J$11:$J$510,0))&amp;"")</f>
        <v/>
      </c>
      <c r="D260" s="26" t="str">
        <f aca="false">IF($H260="","",IF(ISNUMBER(INDEX(Register!$D$11:$D$510,MATCH($H260,Register!$J$11:$J$510,0))),INDEX(Register!$D$11:$D$510,MATCH($H260,Register!$J$11:$J$510,0)),INDEX(Register!$D$11:$D$510,MATCH($H260,Register!$J$11:$J$510,0))&amp;""))</f>
        <v/>
      </c>
      <c r="E260" s="25" t="str">
        <f aca="false">IF($H260="","",IF(ISNUMBER(INDEX(Register!$E$11:$E$510,MATCH($H260,Register!$J$11:$J$510,0))),INDEX(Register!$E$11:$E$510,MATCH($H260,Register!$J$11:$J$510,0))&amp;" mo",INDEX(Register!$E$11:$E$510,MATCH($H260,Register!$J$11:$J$510,0))&amp;""))</f>
        <v/>
      </c>
      <c r="F260" s="26" t="str">
        <f aca="false">IF($H260="","",INDEX(Register!$F$11:$F$510,MATCH($H260,Register!$J$11:$J$510,0)))</f>
        <v/>
      </c>
      <c r="G260" s="27" t="str">
        <f aca="false">IF($H260="","",IF(INDEX(Register!$G$11:$G$510,MATCH($H260,Register!$J$11:$J$510,0))="Check details","Check details: "&amp;INDEX(Register!$I$11:$I$510,MATCH($H260,Register!$J$11:$J$510,0)),INDEX(Register!$G$11:$G$510,MATCH($H260,Register!$J$11:$J$510,0))))</f>
        <v/>
      </c>
      <c r="H260" s="28" t="str">
        <f aca="false">IF(254&gt;COUNT(Register!$J$11:$J$510),"",SMALL(Register!$J$11:$J$510,254))</f>
        <v/>
      </c>
    </row>
    <row r="261" customFormat="false" ht="15" hidden="false" customHeight="false" outlineLevel="0" collapsed="false">
      <c r="A261" s="25" t="str">
        <f aca="false">IF($H261="","",INDEX(Register!$A$11:$A$510,MATCH($H261,Register!$J$11:$J$510,0))&amp;"")</f>
        <v/>
      </c>
      <c r="B261" s="25" t="str">
        <f aca="false">IF($H261="","",INDEX(Register!$B$11:$B$510,MATCH($H261,Register!$J$11:$J$510,0))&amp;"")</f>
        <v/>
      </c>
      <c r="C261" s="25" t="str">
        <f aca="false">IF($H261="","",INDEX(Register!$C$11:$C$510,MATCH($H261,Register!$J$11:$J$510,0))&amp;"")</f>
        <v/>
      </c>
      <c r="D261" s="26" t="str">
        <f aca="false">IF($H261="","",IF(ISNUMBER(INDEX(Register!$D$11:$D$510,MATCH($H261,Register!$J$11:$J$510,0))),INDEX(Register!$D$11:$D$510,MATCH($H261,Register!$J$11:$J$510,0)),INDEX(Register!$D$11:$D$510,MATCH($H261,Register!$J$11:$J$510,0))&amp;""))</f>
        <v/>
      </c>
      <c r="E261" s="25" t="str">
        <f aca="false">IF($H261="","",IF(ISNUMBER(INDEX(Register!$E$11:$E$510,MATCH($H261,Register!$J$11:$J$510,0))),INDEX(Register!$E$11:$E$510,MATCH($H261,Register!$J$11:$J$510,0))&amp;" mo",INDEX(Register!$E$11:$E$510,MATCH($H261,Register!$J$11:$J$510,0))&amp;""))</f>
        <v/>
      </c>
      <c r="F261" s="26" t="str">
        <f aca="false">IF($H261="","",INDEX(Register!$F$11:$F$510,MATCH($H261,Register!$J$11:$J$510,0)))</f>
        <v/>
      </c>
      <c r="G261" s="27" t="str">
        <f aca="false">IF($H261="","",IF(INDEX(Register!$G$11:$G$510,MATCH($H261,Register!$J$11:$J$510,0))="Check details","Check details: "&amp;INDEX(Register!$I$11:$I$510,MATCH($H261,Register!$J$11:$J$510,0)),INDEX(Register!$G$11:$G$510,MATCH($H261,Register!$J$11:$J$510,0))))</f>
        <v/>
      </c>
      <c r="H261" s="28" t="str">
        <f aca="false">IF(255&gt;COUNT(Register!$J$11:$J$510),"",SMALL(Register!$J$11:$J$510,255))</f>
        <v/>
      </c>
    </row>
    <row r="262" customFormat="false" ht="15" hidden="false" customHeight="false" outlineLevel="0" collapsed="false">
      <c r="A262" s="25" t="str">
        <f aca="false">IF($H262="","",INDEX(Register!$A$11:$A$510,MATCH($H262,Register!$J$11:$J$510,0))&amp;"")</f>
        <v/>
      </c>
      <c r="B262" s="25" t="str">
        <f aca="false">IF($H262="","",INDEX(Register!$B$11:$B$510,MATCH($H262,Register!$J$11:$J$510,0))&amp;"")</f>
        <v/>
      </c>
      <c r="C262" s="25" t="str">
        <f aca="false">IF($H262="","",INDEX(Register!$C$11:$C$510,MATCH($H262,Register!$J$11:$J$510,0))&amp;"")</f>
        <v/>
      </c>
      <c r="D262" s="26" t="str">
        <f aca="false">IF($H262="","",IF(ISNUMBER(INDEX(Register!$D$11:$D$510,MATCH($H262,Register!$J$11:$J$510,0))),INDEX(Register!$D$11:$D$510,MATCH($H262,Register!$J$11:$J$510,0)),INDEX(Register!$D$11:$D$510,MATCH($H262,Register!$J$11:$J$510,0))&amp;""))</f>
        <v/>
      </c>
      <c r="E262" s="25" t="str">
        <f aca="false">IF($H262="","",IF(ISNUMBER(INDEX(Register!$E$11:$E$510,MATCH($H262,Register!$J$11:$J$510,0))),INDEX(Register!$E$11:$E$510,MATCH($H262,Register!$J$11:$J$510,0))&amp;" mo",INDEX(Register!$E$11:$E$510,MATCH($H262,Register!$J$11:$J$510,0))&amp;""))</f>
        <v/>
      </c>
      <c r="F262" s="26" t="str">
        <f aca="false">IF($H262="","",INDEX(Register!$F$11:$F$510,MATCH($H262,Register!$J$11:$J$510,0)))</f>
        <v/>
      </c>
      <c r="G262" s="27" t="str">
        <f aca="false">IF($H262="","",IF(INDEX(Register!$G$11:$G$510,MATCH($H262,Register!$J$11:$J$510,0))="Check details","Check details: "&amp;INDEX(Register!$I$11:$I$510,MATCH($H262,Register!$J$11:$J$510,0)),INDEX(Register!$G$11:$G$510,MATCH($H262,Register!$J$11:$J$510,0))))</f>
        <v/>
      </c>
      <c r="H262" s="28" t="str">
        <f aca="false">IF(256&gt;COUNT(Register!$J$11:$J$510),"",SMALL(Register!$J$11:$J$510,256))</f>
        <v/>
      </c>
    </row>
    <row r="263" customFormat="false" ht="15" hidden="false" customHeight="false" outlineLevel="0" collapsed="false">
      <c r="A263" s="25" t="str">
        <f aca="false">IF($H263="","",INDEX(Register!$A$11:$A$510,MATCH($H263,Register!$J$11:$J$510,0))&amp;"")</f>
        <v/>
      </c>
      <c r="B263" s="25" t="str">
        <f aca="false">IF($H263="","",INDEX(Register!$B$11:$B$510,MATCH($H263,Register!$J$11:$J$510,0))&amp;"")</f>
        <v/>
      </c>
      <c r="C263" s="25" t="str">
        <f aca="false">IF($H263="","",INDEX(Register!$C$11:$C$510,MATCH($H263,Register!$J$11:$J$510,0))&amp;"")</f>
        <v/>
      </c>
      <c r="D263" s="26" t="str">
        <f aca="false">IF($H263="","",IF(ISNUMBER(INDEX(Register!$D$11:$D$510,MATCH($H263,Register!$J$11:$J$510,0))),INDEX(Register!$D$11:$D$510,MATCH($H263,Register!$J$11:$J$510,0)),INDEX(Register!$D$11:$D$510,MATCH($H263,Register!$J$11:$J$510,0))&amp;""))</f>
        <v/>
      </c>
      <c r="E263" s="25" t="str">
        <f aca="false">IF($H263="","",IF(ISNUMBER(INDEX(Register!$E$11:$E$510,MATCH($H263,Register!$J$11:$J$510,0))),INDEX(Register!$E$11:$E$510,MATCH($H263,Register!$J$11:$J$510,0))&amp;" mo",INDEX(Register!$E$11:$E$510,MATCH($H263,Register!$J$11:$J$510,0))&amp;""))</f>
        <v/>
      </c>
      <c r="F263" s="26" t="str">
        <f aca="false">IF($H263="","",INDEX(Register!$F$11:$F$510,MATCH($H263,Register!$J$11:$J$510,0)))</f>
        <v/>
      </c>
      <c r="G263" s="27" t="str">
        <f aca="false">IF($H263="","",IF(INDEX(Register!$G$11:$G$510,MATCH($H263,Register!$J$11:$J$510,0))="Check details","Check details: "&amp;INDEX(Register!$I$11:$I$510,MATCH($H263,Register!$J$11:$J$510,0)),INDEX(Register!$G$11:$G$510,MATCH($H263,Register!$J$11:$J$510,0))))</f>
        <v/>
      </c>
      <c r="H263" s="28" t="str">
        <f aca="false">IF(257&gt;COUNT(Register!$J$11:$J$510),"",SMALL(Register!$J$11:$J$510,257))</f>
        <v/>
      </c>
    </row>
    <row r="264" customFormat="false" ht="15" hidden="false" customHeight="false" outlineLevel="0" collapsed="false">
      <c r="A264" s="25" t="str">
        <f aca="false">IF($H264="","",INDEX(Register!$A$11:$A$510,MATCH($H264,Register!$J$11:$J$510,0))&amp;"")</f>
        <v/>
      </c>
      <c r="B264" s="25" t="str">
        <f aca="false">IF($H264="","",INDEX(Register!$B$11:$B$510,MATCH($H264,Register!$J$11:$J$510,0))&amp;"")</f>
        <v/>
      </c>
      <c r="C264" s="25" t="str">
        <f aca="false">IF($H264="","",INDEX(Register!$C$11:$C$510,MATCH($H264,Register!$J$11:$J$510,0))&amp;"")</f>
        <v/>
      </c>
      <c r="D264" s="26" t="str">
        <f aca="false">IF($H264="","",IF(ISNUMBER(INDEX(Register!$D$11:$D$510,MATCH($H264,Register!$J$11:$J$510,0))),INDEX(Register!$D$11:$D$510,MATCH($H264,Register!$J$11:$J$510,0)),INDEX(Register!$D$11:$D$510,MATCH($H264,Register!$J$11:$J$510,0))&amp;""))</f>
        <v/>
      </c>
      <c r="E264" s="25" t="str">
        <f aca="false">IF($H264="","",IF(ISNUMBER(INDEX(Register!$E$11:$E$510,MATCH($H264,Register!$J$11:$J$510,0))),INDEX(Register!$E$11:$E$510,MATCH($H264,Register!$J$11:$J$510,0))&amp;" mo",INDEX(Register!$E$11:$E$510,MATCH($H264,Register!$J$11:$J$510,0))&amp;""))</f>
        <v/>
      </c>
      <c r="F264" s="26" t="str">
        <f aca="false">IF($H264="","",INDEX(Register!$F$11:$F$510,MATCH($H264,Register!$J$11:$J$510,0)))</f>
        <v/>
      </c>
      <c r="G264" s="27" t="str">
        <f aca="false">IF($H264="","",IF(INDEX(Register!$G$11:$G$510,MATCH($H264,Register!$J$11:$J$510,0))="Check details","Check details: "&amp;INDEX(Register!$I$11:$I$510,MATCH($H264,Register!$J$11:$J$510,0)),INDEX(Register!$G$11:$G$510,MATCH($H264,Register!$J$11:$J$510,0))))</f>
        <v/>
      </c>
      <c r="H264" s="28" t="str">
        <f aca="false">IF(258&gt;COUNT(Register!$J$11:$J$510),"",SMALL(Register!$J$11:$J$510,258))</f>
        <v/>
      </c>
    </row>
    <row r="265" customFormat="false" ht="15" hidden="false" customHeight="false" outlineLevel="0" collapsed="false">
      <c r="A265" s="25" t="str">
        <f aca="false">IF($H265="","",INDEX(Register!$A$11:$A$510,MATCH($H265,Register!$J$11:$J$510,0))&amp;"")</f>
        <v/>
      </c>
      <c r="B265" s="25" t="str">
        <f aca="false">IF($H265="","",INDEX(Register!$B$11:$B$510,MATCH($H265,Register!$J$11:$J$510,0))&amp;"")</f>
        <v/>
      </c>
      <c r="C265" s="25" t="str">
        <f aca="false">IF($H265="","",INDEX(Register!$C$11:$C$510,MATCH($H265,Register!$J$11:$J$510,0))&amp;"")</f>
        <v/>
      </c>
      <c r="D265" s="26" t="str">
        <f aca="false">IF($H265="","",IF(ISNUMBER(INDEX(Register!$D$11:$D$510,MATCH($H265,Register!$J$11:$J$510,0))),INDEX(Register!$D$11:$D$510,MATCH($H265,Register!$J$11:$J$510,0)),INDEX(Register!$D$11:$D$510,MATCH($H265,Register!$J$11:$J$510,0))&amp;""))</f>
        <v/>
      </c>
      <c r="E265" s="25" t="str">
        <f aca="false">IF($H265="","",IF(ISNUMBER(INDEX(Register!$E$11:$E$510,MATCH($H265,Register!$J$11:$J$510,0))),INDEX(Register!$E$11:$E$510,MATCH($H265,Register!$J$11:$J$510,0))&amp;" mo",INDEX(Register!$E$11:$E$510,MATCH($H265,Register!$J$11:$J$510,0))&amp;""))</f>
        <v/>
      </c>
      <c r="F265" s="26" t="str">
        <f aca="false">IF($H265="","",INDEX(Register!$F$11:$F$510,MATCH($H265,Register!$J$11:$J$510,0)))</f>
        <v/>
      </c>
      <c r="G265" s="27" t="str">
        <f aca="false">IF($H265="","",IF(INDEX(Register!$G$11:$G$510,MATCH($H265,Register!$J$11:$J$510,0))="Check details","Check details: "&amp;INDEX(Register!$I$11:$I$510,MATCH($H265,Register!$J$11:$J$510,0)),INDEX(Register!$G$11:$G$510,MATCH($H265,Register!$J$11:$J$510,0))))</f>
        <v/>
      </c>
      <c r="H265" s="28" t="str">
        <f aca="false">IF(259&gt;COUNT(Register!$J$11:$J$510),"",SMALL(Register!$J$11:$J$510,259))</f>
        <v/>
      </c>
    </row>
    <row r="266" customFormat="false" ht="15" hidden="false" customHeight="false" outlineLevel="0" collapsed="false">
      <c r="A266" s="25" t="str">
        <f aca="false">IF($H266="","",INDEX(Register!$A$11:$A$510,MATCH($H266,Register!$J$11:$J$510,0))&amp;"")</f>
        <v/>
      </c>
      <c r="B266" s="25" t="str">
        <f aca="false">IF($H266="","",INDEX(Register!$B$11:$B$510,MATCH($H266,Register!$J$11:$J$510,0))&amp;"")</f>
        <v/>
      </c>
      <c r="C266" s="25" t="str">
        <f aca="false">IF($H266="","",INDEX(Register!$C$11:$C$510,MATCH($H266,Register!$J$11:$J$510,0))&amp;"")</f>
        <v/>
      </c>
      <c r="D266" s="26" t="str">
        <f aca="false">IF($H266="","",IF(ISNUMBER(INDEX(Register!$D$11:$D$510,MATCH($H266,Register!$J$11:$J$510,0))),INDEX(Register!$D$11:$D$510,MATCH($H266,Register!$J$11:$J$510,0)),INDEX(Register!$D$11:$D$510,MATCH($H266,Register!$J$11:$J$510,0))&amp;""))</f>
        <v/>
      </c>
      <c r="E266" s="25" t="str">
        <f aca="false">IF($H266="","",IF(ISNUMBER(INDEX(Register!$E$11:$E$510,MATCH($H266,Register!$J$11:$J$510,0))),INDEX(Register!$E$11:$E$510,MATCH($H266,Register!$J$11:$J$510,0))&amp;" mo",INDEX(Register!$E$11:$E$510,MATCH($H266,Register!$J$11:$J$510,0))&amp;""))</f>
        <v/>
      </c>
      <c r="F266" s="26" t="str">
        <f aca="false">IF($H266="","",INDEX(Register!$F$11:$F$510,MATCH($H266,Register!$J$11:$J$510,0)))</f>
        <v/>
      </c>
      <c r="G266" s="27" t="str">
        <f aca="false">IF($H266="","",IF(INDEX(Register!$G$11:$G$510,MATCH($H266,Register!$J$11:$J$510,0))="Check details","Check details: "&amp;INDEX(Register!$I$11:$I$510,MATCH($H266,Register!$J$11:$J$510,0)),INDEX(Register!$G$11:$G$510,MATCH($H266,Register!$J$11:$J$510,0))))</f>
        <v/>
      </c>
      <c r="H266" s="28" t="str">
        <f aca="false">IF(260&gt;COUNT(Register!$J$11:$J$510),"",SMALL(Register!$J$11:$J$510,260))</f>
        <v/>
      </c>
    </row>
    <row r="267" customFormat="false" ht="15" hidden="false" customHeight="false" outlineLevel="0" collapsed="false">
      <c r="A267" s="25" t="str">
        <f aca="false">IF($H267="","",INDEX(Register!$A$11:$A$510,MATCH($H267,Register!$J$11:$J$510,0))&amp;"")</f>
        <v/>
      </c>
      <c r="B267" s="25" t="str">
        <f aca="false">IF($H267="","",INDEX(Register!$B$11:$B$510,MATCH($H267,Register!$J$11:$J$510,0))&amp;"")</f>
        <v/>
      </c>
      <c r="C267" s="25" t="str">
        <f aca="false">IF($H267="","",INDEX(Register!$C$11:$C$510,MATCH($H267,Register!$J$11:$J$510,0))&amp;"")</f>
        <v/>
      </c>
      <c r="D267" s="26" t="str">
        <f aca="false">IF($H267="","",IF(ISNUMBER(INDEX(Register!$D$11:$D$510,MATCH($H267,Register!$J$11:$J$510,0))),INDEX(Register!$D$11:$D$510,MATCH($H267,Register!$J$11:$J$510,0)),INDEX(Register!$D$11:$D$510,MATCH($H267,Register!$J$11:$J$510,0))&amp;""))</f>
        <v/>
      </c>
      <c r="E267" s="25" t="str">
        <f aca="false">IF($H267="","",IF(ISNUMBER(INDEX(Register!$E$11:$E$510,MATCH($H267,Register!$J$11:$J$510,0))),INDEX(Register!$E$11:$E$510,MATCH($H267,Register!$J$11:$J$510,0))&amp;" mo",INDEX(Register!$E$11:$E$510,MATCH($H267,Register!$J$11:$J$510,0))&amp;""))</f>
        <v/>
      </c>
      <c r="F267" s="26" t="str">
        <f aca="false">IF($H267="","",INDEX(Register!$F$11:$F$510,MATCH($H267,Register!$J$11:$J$510,0)))</f>
        <v/>
      </c>
      <c r="G267" s="27" t="str">
        <f aca="false">IF($H267="","",IF(INDEX(Register!$G$11:$G$510,MATCH($H267,Register!$J$11:$J$510,0))="Check details","Check details: "&amp;INDEX(Register!$I$11:$I$510,MATCH($H267,Register!$J$11:$J$510,0)),INDEX(Register!$G$11:$G$510,MATCH($H267,Register!$J$11:$J$510,0))))</f>
        <v/>
      </c>
      <c r="H267" s="28" t="str">
        <f aca="false">IF(261&gt;COUNT(Register!$J$11:$J$510),"",SMALL(Register!$J$11:$J$510,261))</f>
        <v/>
      </c>
    </row>
    <row r="268" customFormat="false" ht="15" hidden="false" customHeight="false" outlineLevel="0" collapsed="false">
      <c r="A268" s="25" t="str">
        <f aca="false">IF($H268="","",INDEX(Register!$A$11:$A$510,MATCH($H268,Register!$J$11:$J$510,0))&amp;"")</f>
        <v/>
      </c>
      <c r="B268" s="25" t="str">
        <f aca="false">IF($H268="","",INDEX(Register!$B$11:$B$510,MATCH($H268,Register!$J$11:$J$510,0))&amp;"")</f>
        <v/>
      </c>
      <c r="C268" s="25" t="str">
        <f aca="false">IF($H268="","",INDEX(Register!$C$11:$C$510,MATCH($H268,Register!$J$11:$J$510,0))&amp;"")</f>
        <v/>
      </c>
      <c r="D268" s="26" t="str">
        <f aca="false">IF($H268="","",IF(ISNUMBER(INDEX(Register!$D$11:$D$510,MATCH($H268,Register!$J$11:$J$510,0))),INDEX(Register!$D$11:$D$510,MATCH($H268,Register!$J$11:$J$510,0)),INDEX(Register!$D$11:$D$510,MATCH($H268,Register!$J$11:$J$510,0))&amp;""))</f>
        <v/>
      </c>
      <c r="E268" s="25" t="str">
        <f aca="false">IF($H268="","",IF(ISNUMBER(INDEX(Register!$E$11:$E$510,MATCH($H268,Register!$J$11:$J$510,0))),INDEX(Register!$E$11:$E$510,MATCH($H268,Register!$J$11:$J$510,0))&amp;" mo",INDEX(Register!$E$11:$E$510,MATCH($H268,Register!$J$11:$J$510,0))&amp;""))</f>
        <v/>
      </c>
      <c r="F268" s="26" t="str">
        <f aca="false">IF($H268="","",INDEX(Register!$F$11:$F$510,MATCH($H268,Register!$J$11:$J$510,0)))</f>
        <v/>
      </c>
      <c r="G268" s="27" t="str">
        <f aca="false">IF($H268="","",IF(INDEX(Register!$G$11:$G$510,MATCH($H268,Register!$J$11:$J$510,0))="Check details","Check details: "&amp;INDEX(Register!$I$11:$I$510,MATCH($H268,Register!$J$11:$J$510,0)),INDEX(Register!$G$11:$G$510,MATCH($H268,Register!$J$11:$J$510,0))))</f>
        <v/>
      </c>
      <c r="H268" s="28" t="str">
        <f aca="false">IF(262&gt;COUNT(Register!$J$11:$J$510),"",SMALL(Register!$J$11:$J$510,262))</f>
        <v/>
      </c>
    </row>
    <row r="269" customFormat="false" ht="15" hidden="false" customHeight="false" outlineLevel="0" collapsed="false">
      <c r="A269" s="25" t="str">
        <f aca="false">IF($H269="","",INDEX(Register!$A$11:$A$510,MATCH($H269,Register!$J$11:$J$510,0))&amp;"")</f>
        <v/>
      </c>
      <c r="B269" s="25" t="str">
        <f aca="false">IF($H269="","",INDEX(Register!$B$11:$B$510,MATCH($H269,Register!$J$11:$J$510,0))&amp;"")</f>
        <v/>
      </c>
      <c r="C269" s="25" t="str">
        <f aca="false">IF($H269="","",INDEX(Register!$C$11:$C$510,MATCH($H269,Register!$J$11:$J$510,0))&amp;"")</f>
        <v/>
      </c>
      <c r="D269" s="26" t="str">
        <f aca="false">IF($H269="","",IF(ISNUMBER(INDEX(Register!$D$11:$D$510,MATCH($H269,Register!$J$11:$J$510,0))),INDEX(Register!$D$11:$D$510,MATCH($H269,Register!$J$11:$J$510,0)),INDEX(Register!$D$11:$D$510,MATCH($H269,Register!$J$11:$J$510,0))&amp;""))</f>
        <v/>
      </c>
      <c r="E269" s="25" t="str">
        <f aca="false">IF($H269="","",IF(ISNUMBER(INDEX(Register!$E$11:$E$510,MATCH($H269,Register!$J$11:$J$510,0))),INDEX(Register!$E$11:$E$510,MATCH($H269,Register!$J$11:$J$510,0))&amp;" mo",INDEX(Register!$E$11:$E$510,MATCH($H269,Register!$J$11:$J$510,0))&amp;""))</f>
        <v/>
      </c>
      <c r="F269" s="26" t="str">
        <f aca="false">IF($H269="","",INDEX(Register!$F$11:$F$510,MATCH($H269,Register!$J$11:$J$510,0)))</f>
        <v/>
      </c>
      <c r="G269" s="27" t="str">
        <f aca="false">IF($H269="","",IF(INDEX(Register!$G$11:$G$510,MATCH($H269,Register!$J$11:$J$510,0))="Check details","Check details: "&amp;INDEX(Register!$I$11:$I$510,MATCH($H269,Register!$J$11:$J$510,0)),INDEX(Register!$G$11:$G$510,MATCH($H269,Register!$J$11:$J$510,0))))</f>
        <v/>
      </c>
      <c r="H269" s="28" t="str">
        <f aca="false">IF(263&gt;COUNT(Register!$J$11:$J$510),"",SMALL(Register!$J$11:$J$510,263))</f>
        <v/>
      </c>
    </row>
    <row r="270" customFormat="false" ht="15" hidden="false" customHeight="false" outlineLevel="0" collapsed="false">
      <c r="A270" s="25" t="str">
        <f aca="false">IF($H270="","",INDEX(Register!$A$11:$A$510,MATCH($H270,Register!$J$11:$J$510,0))&amp;"")</f>
        <v/>
      </c>
      <c r="B270" s="25" t="str">
        <f aca="false">IF($H270="","",INDEX(Register!$B$11:$B$510,MATCH($H270,Register!$J$11:$J$510,0))&amp;"")</f>
        <v/>
      </c>
      <c r="C270" s="25" t="str">
        <f aca="false">IF($H270="","",INDEX(Register!$C$11:$C$510,MATCH($H270,Register!$J$11:$J$510,0))&amp;"")</f>
        <v/>
      </c>
      <c r="D270" s="26" t="str">
        <f aca="false">IF($H270="","",IF(ISNUMBER(INDEX(Register!$D$11:$D$510,MATCH($H270,Register!$J$11:$J$510,0))),INDEX(Register!$D$11:$D$510,MATCH($H270,Register!$J$11:$J$510,0)),INDEX(Register!$D$11:$D$510,MATCH($H270,Register!$J$11:$J$510,0))&amp;""))</f>
        <v/>
      </c>
      <c r="E270" s="25" t="str">
        <f aca="false">IF($H270="","",IF(ISNUMBER(INDEX(Register!$E$11:$E$510,MATCH($H270,Register!$J$11:$J$510,0))),INDEX(Register!$E$11:$E$510,MATCH($H270,Register!$J$11:$J$510,0))&amp;" mo",INDEX(Register!$E$11:$E$510,MATCH($H270,Register!$J$11:$J$510,0))&amp;""))</f>
        <v/>
      </c>
      <c r="F270" s="26" t="str">
        <f aca="false">IF($H270="","",INDEX(Register!$F$11:$F$510,MATCH($H270,Register!$J$11:$J$510,0)))</f>
        <v/>
      </c>
      <c r="G270" s="27" t="str">
        <f aca="false">IF($H270="","",IF(INDEX(Register!$G$11:$G$510,MATCH($H270,Register!$J$11:$J$510,0))="Check details","Check details: "&amp;INDEX(Register!$I$11:$I$510,MATCH($H270,Register!$J$11:$J$510,0)),INDEX(Register!$G$11:$G$510,MATCH($H270,Register!$J$11:$J$510,0))))</f>
        <v/>
      </c>
      <c r="H270" s="28" t="str">
        <f aca="false">IF(264&gt;COUNT(Register!$J$11:$J$510),"",SMALL(Register!$J$11:$J$510,264))</f>
        <v/>
      </c>
    </row>
    <row r="271" customFormat="false" ht="15" hidden="false" customHeight="false" outlineLevel="0" collapsed="false">
      <c r="A271" s="25" t="str">
        <f aca="false">IF($H271="","",INDEX(Register!$A$11:$A$510,MATCH($H271,Register!$J$11:$J$510,0))&amp;"")</f>
        <v/>
      </c>
      <c r="B271" s="25" t="str">
        <f aca="false">IF($H271="","",INDEX(Register!$B$11:$B$510,MATCH($H271,Register!$J$11:$J$510,0))&amp;"")</f>
        <v/>
      </c>
      <c r="C271" s="25" t="str">
        <f aca="false">IF($H271="","",INDEX(Register!$C$11:$C$510,MATCH($H271,Register!$J$11:$J$510,0))&amp;"")</f>
        <v/>
      </c>
      <c r="D271" s="26" t="str">
        <f aca="false">IF($H271="","",IF(ISNUMBER(INDEX(Register!$D$11:$D$510,MATCH($H271,Register!$J$11:$J$510,0))),INDEX(Register!$D$11:$D$510,MATCH($H271,Register!$J$11:$J$510,0)),INDEX(Register!$D$11:$D$510,MATCH($H271,Register!$J$11:$J$510,0))&amp;""))</f>
        <v/>
      </c>
      <c r="E271" s="25" t="str">
        <f aca="false">IF($H271="","",IF(ISNUMBER(INDEX(Register!$E$11:$E$510,MATCH($H271,Register!$J$11:$J$510,0))),INDEX(Register!$E$11:$E$510,MATCH($H271,Register!$J$11:$J$510,0))&amp;" mo",INDEX(Register!$E$11:$E$510,MATCH($H271,Register!$J$11:$J$510,0))&amp;""))</f>
        <v/>
      </c>
      <c r="F271" s="26" t="str">
        <f aca="false">IF($H271="","",INDEX(Register!$F$11:$F$510,MATCH($H271,Register!$J$11:$J$510,0)))</f>
        <v/>
      </c>
      <c r="G271" s="27" t="str">
        <f aca="false">IF($H271="","",IF(INDEX(Register!$G$11:$G$510,MATCH($H271,Register!$J$11:$J$510,0))="Check details","Check details: "&amp;INDEX(Register!$I$11:$I$510,MATCH($H271,Register!$J$11:$J$510,0)),INDEX(Register!$G$11:$G$510,MATCH($H271,Register!$J$11:$J$510,0))))</f>
        <v/>
      </c>
      <c r="H271" s="28" t="str">
        <f aca="false">IF(265&gt;COUNT(Register!$J$11:$J$510),"",SMALL(Register!$J$11:$J$510,265))</f>
        <v/>
      </c>
    </row>
    <row r="272" customFormat="false" ht="15" hidden="false" customHeight="false" outlineLevel="0" collapsed="false">
      <c r="A272" s="25" t="str">
        <f aca="false">IF($H272="","",INDEX(Register!$A$11:$A$510,MATCH($H272,Register!$J$11:$J$510,0))&amp;"")</f>
        <v/>
      </c>
      <c r="B272" s="25" t="str">
        <f aca="false">IF($H272="","",INDEX(Register!$B$11:$B$510,MATCH($H272,Register!$J$11:$J$510,0))&amp;"")</f>
        <v/>
      </c>
      <c r="C272" s="25" t="str">
        <f aca="false">IF($H272="","",INDEX(Register!$C$11:$C$510,MATCH($H272,Register!$J$11:$J$510,0))&amp;"")</f>
        <v/>
      </c>
      <c r="D272" s="26" t="str">
        <f aca="false">IF($H272="","",IF(ISNUMBER(INDEX(Register!$D$11:$D$510,MATCH($H272,Register!$J$11:$J$510,0))),INDEX(Register!$D$11:$D$510,MATCH($H272,Register!$J$11:$J$510,0)),INDEX(Register!$D$11:$D$510,MATCH($H272,Register!$J$11:$J$510,0))&amp;""))</f>
        <v/>
      </c>
      <c r="E272" s="25" t="str">
        <f aca="false">IF($H272="","",IF(ISNUMBER(INDEX(Register!$E$11:$E$510,MATCH($H272,Register!$J$11:$J$510,0))),INDEX(Register!$E$11:$E$510,MATCH($H272,Register!$J$11:$J$510,0))&amp;" mo",INDEX(Register!$E$11:$E$510,MATCH($H272,Register!$J$11:$J$510,0))&amp;""))</f>
        <v/>
      </c>
      <c r="F272" s="26" t="str">
        <f aca="false">IF($H272="","",INDEX(Register!$F$11:$F$510,MATCH($H272,Register!$J$11:$J$510,0)))</f>
        <v/>
      </c>
      <c r="G272" s="27" t="str">
        <f aca="false">IF($H272="","",IF(INDEX(Register!$G$11:$G$510,MATCH($H272,Register!$J$11:$J$510,0))="Check details","Check details: "&amp;INDEX(Register!$I$11:$I$510,MATCH($H272,Register!$J$11:$J$510,0)),INDEX(Register!$G$11:$G$510,MATCH($H272,Register!$J$11:$J$510,0))))</f>
        <v/>
      </c>
      <c r="H272" s="28" t="str">
        <f aca="false">IF(266&gt;COUNT(Register!$J$11:$J$510),"",SMALL(Register!$J$11:$J$510,266))</f>
        <v/>
      </c>
    </row>
    <row r="273" customFormat="false" ht="15" hidden="false" customHeight="false" outlineLevel="0" collapsed="false">
      <c r="A273" s="25" t="str">
        <f aca="false">IF($H273="","",INDEX(Register!$A$11:$A$510,MATCH($H273,Register!$J$11:$J$510,0))&amp;"")</f>
        <v/>
      </c>
      <c r="B273" s="25" t="str">
        <f aca="false">IF($H273="","",INDEX(Register!$B$11:$B$510,MATCH($H273,Register!$J$11:$J$510,0))&amp;"")</f>
        <v/>
      </c>
      <c r="C273" s="25" t="str">
        <f aca="false">IF($H273="","",INDEX(Register!$C$11:$C$510,MATCH($H273,Register!$J$11:$J$510,0))&amp;"")</f>
        <v/>
      </c>
      <c r="D273" s="26" t="str">
        <f aca="false">IF($H273="","",IF(ISNUMBER(INDEX(Register!$D$11:$D$510,MATCH($H273,Register!$J$11:$J$510,0))),INDEX(Register!$D$11:$D$510,MATCH($H273,Register!$J$11:$J$510,0)),INDEX(Register!$D$11:$D$510,MATCH($H273,Register!$J$11:$J$510,0))&amp;""))</f>
        <v/>
      </c>
      <c r="E273" s="25" t="str">
        <f aca="false">IF($H273="","",IF(ISNUMBER(INDEX(Register!$E$11:$E$510,MATCH($H273,Register!$J$11:$J$510,0))),INDEX(Register!$E$11:$E$510,MATCH($H273,Register!$J$11:$J$510,0))&amp;" mo",INDEX(Register!$E$11:$E$510,MATCH($H273,Register!$J$11:$J$510,0))&amp;""))</f>
        <v/>
      </c>
      <c r="F273" s="26" t="str">
        <f aca="false">IF($H273="","",INDEX(Register!$F$11:$F$510,MATCH($H273,Register!$J$11:$J$510,0)))</f>
        <v/>
      </c>
      <c r="G273" s="27" t="str">
        <f aca="false">IF($H273="","",IF(INDEX(Register!$G$11:$G$510,MATCH($H273,Register!$J$11:$J$510,0))="Check details","Check details: "&amp;INDEX(Register!$I$11:$I$510,MATCH($H273,Register!$J$11:$J$510,0)),INDEX(Register!$G$11:$G$510,MATCH($H273,Register!$J$11:$J$510,0))))</f>
        <v/>
      </c>
      <c r="H273" s="28" t="str">
        <f aca="false">IF(267&gt;COUNT(Register!$J$11:$J$510),"",SMALL(Register!$J$11:$J$510,267))</f>
        <v/>
      </c>
    </row>
    <row r="274" customFormat="false" ht="15" hidden="false" customHeight="false" outlineLevel="0" collapsed="false">
      <c r="A274" s="25" t="str">
        <f aca="false">IF($H274="","",INDEX(Register!$A$11:$A$510,MATCH($H274,Register!$J$11:$J$510,0))&amp;"")</f>
        <v/>
      </c>
      <c r="B274" s="25" t="str">
        <f aca="false">IF($H274="","",INDEX(Register!$B$11:$B$510,MATCH($H274,Register!$J$11:$J$510,0))&amp;"")</f>
        <v/>
      </c>
      <c r="C274" s="25" t="str">
        <f aca="false">IF($H274="","",INDEX(Register!$C$11:$C$510,MATCH($H274,Register!$J$11:$J$510,0))&amp;"")</f>
        <v/>
      </c>
      <c r="D274" s="26" t="str">
        <f aca="false">IF($H274="","",IF(ISNUMBER(INDEX(Register!$D$11:$D$510,MATCH($H274,Register!$J$11:$J$510,0))),INDEX(Register!$D$11:$D$510,MATCH($H274,Register!$J$11:$J$510,0)),INDEX(Register!$D$11:$D$510,MATCH($H274,Register!$J$11:$J$510,0))&amp;""))</f>
        <v/>
      </c>
      <c r="E274" s="25" t="str">
        <f aca="false">IF($H274="","",IF(ISNUMBER(INDEX(Register!$E$11:$E$510,MATCH($H274,Register!$J$11:$J$510,0))),INDEX(Register!$E$11:$E$510,MATCH($H274,Register!$J$11:$J$510,0))&amp;" mo",INDEX(Register!$E$11:$E$510,MATCH($H274,Register!$J$11:$J$510,0))&amp;""))</f>
        <v/>
      </c>
      <c r="F274" s="26" t="str">
        <f aca="false">IF($H274="","",INDEX(Register!$F$11:$F$510,MATCH($H274,Register!$J$11:$J$510,0)))</f>
        <v/>
      </c>
      <c r="G274" s="27" t="str">
        <f aca="false">IF($H274="","",IF(INDEX(Register!$G$11:$G$510,MATCH($H274,Register!$J$11:$J$510,0))="Check details","Check details: "&amp;INDEX(Register!$I$11:$I$510,MATCH($H274,Register!$J$11:$J$510,0)),INDEX(Register!$G$11:$G$510,MATCH($H274,Register!$J$11:$J$510,0))))</f>
        <v/>
      </c>
      <c r="H274" s="28" t="str">
        <f aca="false">IF(268&gt;COUNT(Register!$J$11:$J$510),"",SMALL(Register!$J$11:$J$510,268))</f>
        <v/>
      </c>
    </row>
    <row r="275" customFormat="false" ht="15" hidden="false" customHeight="false" outlineLevel="0" collapsed="false">
      <c r="A275" s="25" t="str">
        <f aca="false">IF($H275="","",INDEX(Register!$A$11:$A$510,MATCH($H275,Register!$J$11:$J$510,0))&amp;"")</f>
        <v/>
      </c>
      <c r="B275" s="25" t="str">
        <f aca="false">IF($H275="","",INDEX(Register!$B$11:$B$510,MATCH($H275,Register!$J$11:$J$510,0))&amp;"")</f>
        <v/>
      </c>
      <c r="C275" s="25" t="str">
        <f aca="false">IF($H275="","",INDEX(Register!$C$11:$C$510,MATCH($H275,Register!$J$11:$J$510,0))&amp;"")</f>
        <v/>
      </c>
      <c r="D275" s="26" t="str">
        <f aca="false">IF($H275="","",IF(ISNUMBER(INDEX(Register!$D$11:$D$510,MATCH($H275,Register!$J$11:$J$510,0))),INDEX(Register!$D$11:$D$510,MATCH($H275,Register!$J$11:$J$510,0)),INDEX(Register!$D$11:$D$510,MATCH($H275,Register!$J$11:$J$510,0))&amp;""))</f>
        <v/>
      </c>
      <c r="E275" s="25" t="str">
        <f aca="false">IF($H275="","",IF(ISNUMBER(INDEX(Register!$E$11:$E$510,MATCH($H275,Register!$J$11:$J$510,0))),INDEX(Register!$E$11:$E$510,MATCH($H275,Register!$J$11:$J$510,0))&amp;" mo",INDEX(Register!$E$11:$E$510,MATCH($H275,Register!$J$11:$J$510,0))&amp;""))</f>
        <v/>
      </c>
      <c r="F275" s="26" t="str">
        <f aca="false">IF($H275="","",INDEX(Register!$F$11:$F$510,MATCH($H275,Register!$J$11:$J$510,0)))</f>
        <v/>
      </c>
      <c r="G275" s="27" t="str">
        <f aca="false">IF($H275="","",IF(INDEX(Register!$G$11:$G$510,MATCH($H275,Register!$J$11:$J$510,0))="Check details","Check details: "&amp;INDEX(Register!$I$11:$I$510,MATCH($H275,Register!$J$11:$J$510,0)),INDEX(Register!$G$11:$G$510,MATCH($H275,Register!$J$11:$J$510,0))))</f>
        <v/>
      </c>
      <c r="H275" s="28" t="str">
        <f aca="false">IF(269&gt;COUNT(Register!$J$11:$J$510),"",SMALL(Register!$J$11:$J$510,269))</f>
        <v/>
      </c>
    </row>
    <row r="276" customFormat="false" ht="15" hidden="false" customHeight="false" outlineLevel="0" collapsed="false">
      <c r="A276" s="25" t="str">
        <f aca="false">IF($H276="","",INDEX(Register!$A$11:$A$510,MATCH($H276,Register!$J$11:$J$510,0))&amp;"")</f>
        <v/>
      </c>
      <c r="B276" s="25" t="str">
        <f aca="false">IF($H276="","",INDEX(Register!$B$11:$B$510,MATCH($H276,Register!$J$11:$J$510,0))&amp;"")</f>
        <v/>
      </c>
      <c r="C276" s="25" t="str">
        <f aca="false">IF($H276="","",INDEX(Register!$C$11:$C$510,MATCH($H276,Register!$J$11:$J$510,0))&amp;"")</f>
        <v/>
      </c>
      <c r="D276" s="26" t="str">
        <f aca="false">IF($H276="","",IF(ISNUMBER(INDEX(Register!$D$11:$D$510,MATCH($H276,Register!$J$11:$J$510,0))),INDEX(Register!$D$11:$D$510,MATCH($H276,Register!$J$11:$J$510,0)),INDEX(Register!$D$11:$D$510,MATCH($H276,Register!$J$11:$J$510,0))&amp;""))</f>
        <v/>
      </c>
      <c r="E276" s="25" t="str">
        <f aca="false">IF($H276="","",IF(ISNUMBER(INDEX(Register!$E$11:$E$510,MATCH($H276,Register!$J$11:$J$510,0))),INDEX(Register!$E$11:$E$510,MATCH($H276,Register!$J$11:$J$510,0))&amp;" mo",INDEX(Register!$E$11:$E$510,MATCH($H276,Register!$J$11:$J$510,0))&amp;""))</f>
        <v/>
      </c>
      <c r="F276" s="26" t="str">
        <f aca="false">IF($H276="","",INDEX(Register!$F$11:$F$510,MATCH($H276,Register!$J$11:$J$510,0)))</f>
        <v/>
      </c>
      <c r="G276" s="27" t="str">
        <f aca="false">IF($H276="","",IF(INDEX(Register!$G$11:$G$510,MATCH($H276,Register!$J$11:$J$510,0))="Check details","Check details: "&amp;INDEX(Register!$I$11:$I$510,MATCH($H276,Register!$J$11:$J$510,0)),INDEX(Register!$G$11:$G$510,MATCH($H276,Register!$J$11:$J$510,0))))</f>
        <v/>
      </c>
      <c r="H276" s="28" t="str">
        <f aca="false">IF(270&gt;COUNT(Register!$J$11:$J$510),"",SMALL(Register!$J$11:$J$510,270))</f>
        <v/>
      </c>
    </row>
    <row r="277" customFormat="false" ht="15" hidden="false" customHeight="false" outlineLevel="0" collapsed="false">
      <c r="A277" s="25" t="str">
        <f aca="false">IF($H277="","",INDEX(Register!$A$11:$A$510,MATCH($H277,Register!$J$11:$J$510,0))&amp;"")</f>
        <v/>
      </c>
      <c r="B277" s="25" t="str">
        <f aca="false">IF($H277="","",INDEX(Register!$B$11:$B$510,MATCH($H277,Register!$J$11:$J$510,0))&amp;"")</f>
        <v/>
      </c>
      <c r="C277" s="25" t="str">
        <f aca="false">IF($H277="","",INDEX(Register!$C$11:$C$510,MATCH($H277,Register!$J$11:$J$510,0))&amp;"")</f>
        <v/>
      </c>
      <c r="D277" s="26" t="str">
        <f aca="false">IF($H277="","",IF(ISNUMBER(INDEX(Register!$D$11:$D$510,MATCH($H277,Register!$J$11:$J$510,0))),INDEX(Register!$D$11:$D$510,MATCH($H277,Register!$J$11:$J$510,0)),INDEX(Register!$D$11:$D$510,MATCH($H277,Register!$J$11:$J$510,0))&amp;""))</f>
        <v/>
      </c>
      <c r="E277" s="25" t="str">
        <f aca="false">IF($H277="","",IF(ISNUMBER(INDEX(Register!$E$11:$E$510,MATCH($H277,Register!$J$11:$J$510,0))),INDEX(Register!$E$11:$E$510,MATCH($H277,Register!$J$11:$J$510,0))&amp;" mo",INDEX(Register!$E$11:$E$510,MATCH($H277,Register!$J$11:$J$510,0))&amp;""))</f>
        <v/>
      </c>
      <c r="F277" s="26" t="str">
        <f aca="false">IF($H277="","",INDEX(Register!$F$11:$F$510,MATCH($H277,Register!$J$11:$J$510,0)))</f>
        <v/>
      </c>
      <c r="G277" s="27" t="str">
        <f aca="false">IF($H277="","",IF(INDEX(Register!$G$11:$G$510,MATCH($H277,Register!$J$11:$J$510,0))="Check details","Check details: "&amp;INDEX(Register!$I$11:$I$510,MATCH($H277,Register!$J$11:$J$510,0)),INDEX(Register!$G$11:$G$510,MATCH($H277,Register!$J$11:$J$510,0))))</f>
        <v/>
      </c>
      <c r="H277" s="28" t="str">
        <f aca="false">IF(271&gt;COUNT(Register!$J$11:$J$510),"",SMALL(Register!$J$11:$J$510,271))</f>
        <v/>
      </c>
    </row>
    <row r="278" customFormat="false" ht="15" hidden="false" customHeight="false" outlineLevel="0" collapsed="false">
      <c r="A278" s="25" t="str">
        <f aca="false">IF($H278="","",INDEX(Register!$A$11:$A$510,MATCH($H278,Register!$J$11:$J$510,0))&amp;"")</f>
        <v/>
      </c>
      <c r="B278" s="25" t="str">
        <f aca="false">IF($H278="","",INDEX(Register!$B$11:$B$510,MATCH($H278,Register!$J$11:$J$510,0))&amp;"")</f>
        <v/>
      </c>
      <c r="C278" s="25" t="str">
        <f aca="false">IF($H278="","",INDEX(Register!$C$11:$C$510,MATCH($H278,Register!$J$11:$J$510,0))&amp;"")</f>
        <v/>
      </c>
      <c r="D278" s="26" t="str">
        <f aca="false">IF($H278="","",IF(ISNUMBER(INDEX(Register!$D$11:$D$510,MATCH($H278,Register!$J$11:$J$510,0))),INDEX(Register!$D$11:$D$510,MATCH($H278,Register!$J$11:$J$510,0)),INDEX(Register!$D$11:$D$510,MATCH($H278,Register!$J$11:$J$510,0))&amp;""))</f>
        <v/>
      </c>
      <c r="E278" s="25" t="str">
        <f aca="false">IF($H278="","",IF(ISNUMBER(INDEX(Register!$E$11:$E$510,MATCH($H278,Register!$J$11:$J$510,0))),INDEX(Register!$E$11:$E$510,MATCH($H278,Register!$J$11:$J$510,0))&amp;" mo",INDEX(Register!$E$11:$E$510,MATCH($H278,Register!$J$11:$J$510,0))&amp;""))</f>
        <v/>
      </c>
      <c r="F278" s="26" t="str">
        <f aca="false">IF($H278="","",INDEX(Register!$F$11:$F$510,MATCH($H278,Register!$J$11:$J$510,0)))</f>
        <v/>
      </c>
      <c r="G278" s="27" t="str">
        <f aca="false">IF($H278="","",IF(INDEX(Register!$G$11:$G$510,MATCH($H278,Register!$J$11:$J$510,0))="Check details","Check details: "&amp;INDEX(Register!$I$11:$I$510,MATCH($H278,Register!$J$11:$J$510,0)),INDEX(Register!$G$11:$G$510,MATCH($H278,Register!$J$11:$J$510,0))))</f>
        <v/>
      </c>
      <c r="H278" s="28" t="str">
        <f aca="false">IF(272&gt;COUNT(Register!$J$11:$J$510),"",SMALL(Register!$J$11:$J$510,272))</f>
        <v/>
      </c>
    </row>
    <row r="279" customFormat="false" ht="15" hidden="false" customHeight="false" outlineLevel="0" collapsed="false">
      <c r="A279" s="25" t="str">
        <f aca="false">IF($H279="","",INDEX(Register!$A$11:$A$510,MATCH($H279,Register!$J$11:$J$510,0))&amp;"")</f>
        <v/>
      </c>
      <c r="B279" s="25" t="str">
        <f aca="false">IF($H279="","",INDEX(Register!$B$11:$B$510,MATCH($H279,Register!$J$11:$J$510,0))&amp;"")</f>
        <v/>
      </c>
      <c r="C279" s="25" t="str">
        <f aca="false">IF($H279="","",INDEX(Register!$C$11:$C$510,MATCH($H279,Register!$J$11:$J$510,0))&amp;"")</f>
        <v/>
      </c>
      <c r="D279" s="26" t="str">
        <f aca="false">IF($H279="","",IF(ISNUMBER(INDEX(Register!$D$11:$D$510,MATCH($H279,Register!$J$11:$J$510,0))),INDEX(Register!$D$11:$D$510,MATCH($H279,Register!$J$11:$J$510,0)),INDEX(Register!$D$11:$D$510,MATCH($H279,Register!$J$11:$J$510,0))&amp;""))</f>
        <v/>
      </c>
      <c r="E279" s="25" t="str">
        <f aca="false">IF($H279="","",IF(ISNUMBER(INDEX(Register!$E$11:$E$510,MATCH($H279,Register!$J$11:$J$510,0))),INDEX(Register!$E$11:$E$510,MATCH($H279,Register!$J$11:$J$510,0))&amp;" mo",INDEX(Register!$E$11:$E$510,MATCH($H279,Register!$J$11:$J$510,0))&amp;""))</f>
        <v/>
      </c>
      <c r="F279" s="26" t="str">
        <f aca="false">IF($H279="","",INDEX(Register!$F$11:$F$510,MATCH($H279,Register!$J$11:$J$510,0)))</f>
        <v/>
      </c>
      <c r="G279" s="27" t="str">
        <f aca="false">IF($H279="","",IF(INDEX(Register!$G$11:$G$510,MATCH($H279,Register!$J$11:$J$510,0))="Check details","Check details: "&amp;INDEX(Register!$I$11:$I$510,MATCH($H279,Register!$J$11:$J$510,0)),INDEX(Register!$G$11:$G$510,MATCH($H279,Register!$J$11:$J$510,0))))</f>
        <v/>
      </c>
      <c r="H279" s="28" t="str">
        <f aca="false">IF(273&gt;COUNT(Register!$J$11:$J$510),"",SMALL(Register!$J$11:$J$510,273))</f>
        <v/>
      </c>
    </row>
    <row r="280" customFormat="false" ht="15" hidden="false" customHeight="false" outlineLevel="0" collapsed="false">
      <c r="A280" s="25" t="str">
        <f aca="false">IF($H280="","",INDEX(Register!$A$11:$A$510,MATCH($H280,Register!$J$11:$J$510,0))&amp;"")</f>
        <v/>
      </c>
      <c r="B280" s="25" t="str">
        <f aca="false">IF($H280="","",INDEX(Register!$B$11:$B$510,MATCH($H280,Register!$J$11:$J$510,0))&amp;"")</f>
        <v/>
      </c>
      <c r="C280" s="25" t="str">
        <f aca="false">IF($H280="","",INDEX(Register!$C$11:$C$510,MATCH($H280,Register!$J$11:$J$510,0))&amp;"")</f>
        <v/>
      </c>
      <c r="D280" s="26" t="str">
        <f aca="false">IF($H280="","",IF(ISNUMBER(INDEX(Register!$D$11:$D$510,MATCH($H280,Register!$J$11:$J$510,0))),INDEX(Register!$D$11:$D$510,MATCH($H280,Register!$J$11:$J$510,0)),INDEX(Register!$D$11:$D$510,MATCH($H280,Register!$J$11:$J$510,0))&amp;""))</f>
        <v/>
      </c>
      <c r="E280" s="25" t="str">
        <f aca="false">IF($H280="","",IF(ISNUMBER(INDEX(Register!$E$11:$E$510,MATCH($H280,Register!$J$11:$J$510,0))),INDEX(Register!$E$11:$E$510,MATCH($H280,Register!$J$11:$J$510,0))&amp;" mo",INDEX(Register!$E$11:$E$510,MATCH($H280,Register!$J$11:$J$510,0))&amp;""))</f>
        <v/>
      </c>
      <c r="F280" s="26" t="str">
        <f aca="false">IF($H280="","",INDEX(Register!$F$11:$F$510,MATCH($H280,Register!$J$11:$J$510,0)))</f>
        <v/>
      </c>
      <c r="G280" s="27" t="str">
        <f aca="false">IF($H280="","",IF(INDEX(Register!$G$11:$G$510,MATCH($H280,Register!$J$11:$J$510,0))="Check details","Check details: "&amp;INDEX(Register!$I$11:$I$510,MATCH($H280,Register!$J$11:$J$510,0)),INDEX(Register!$G$11:$G$510,MATCH($H280,Register!$J$11:$J$510,0))))</f>
        <v/>
      </c>
      <c r="H280" s="28" t="str">
        <f aca="false">IF(274&gt;COUNT(Register!$J$11:$J$510),"",SMALL(Register!$J$11:$J$510,274))</f>
        <v/>
      </c>
    </row>
    <row r="281" customFormat="false" ht="15" hidden="false" customHeight="false" outlineLevel="0" collapsed="false">
      <c r="A281" s="25" t="str">
        <f aca="false">IF($H281="","",INDEX(Register!$A$11:$A$510,MATCH($H281,Register!$J$11:$J$510,0))&amp;"")</f>
        <v/>
      </c>
      <c r="B281" s="25" t="str">
        <f aca="false">IF($H281="","",INDEX(Register!$B$11:$B$510,MATCH($H281,Register!$J$11:$J$510,0))&amp;"")</f>
        <v/>
      </c>
      <c r="C281" s="25" t="str">
        <f aca="false">IF($H281="","",INDEX(Register!$C$11:$C$510,MATCH($H281,Register!$J$11:$J$510,0))&amp;"")</f>
        <v/>
      </c>
      <c r="D281" s="26" t="str">
        <f aca="false">IF($H281="","",IF(ISNUMBER(INDEX(Register!$D$11:$D$510,MATCH($H281,Register!$J$11:$J$510,0))),INDEX(Register!$D$11:$D$510,MATCH($H281,Register!$J$11:$J$510,0)),INDEX(Register!$D$11:$D$510,MATCH($H281,Register!$J$11:$J$510,0))&amp;""))</f>
        <v/>
      </c>
      <c r="E281" s="25" t="str">
        <f aca="false">IF($H281="","",IF(ISNUMBER(INDEX(Register!$E$11:$E$510,MATCH($H281,Register!$J$11:$J$510,0))),INDEX(Register!$E$11:$E$510,MATCH($H281,Register!$J$11:$J$510,0))&amp;" mo",INDEX(Register!$E$11:$E$510,MATCH($H281,Register!$J$11:$J$510,0))&amp;""))</f>
        <v/>
      </c>
      <c r="F281" s="26" t="str">
        <f aca="false">IF($H281="","",INDEX(Register!$F$11:$F$510,MATCH($H281,Register!$J$11:$J$510,0)))</f>
        <v/>
      </c>
      <c r="G281" s="27" t="str">
        <f aca="false">IF($H281="","",IF(INDEX(Register!$G$11:$G$510,MATCH($H281,Register!$J$11:$J$510,0))="Check details","Check details: "&amp;INDEX(Register!$I$11:$I$510,MATCH($H281,Register!$J$11:$J$510,0)),INDEX(Register!$G$11:$G$510,MATCH($H281,Register!$J$11:$J$510,0))))</f>
        <v/>
      </c>
      <c r="H281" s="28" t="str">
        <f aca="false">IF(275&gt;COUNT(Register!$J$11:$J$510),"",SMALL(Register!$J$11:$J$510,275))</f>
        <v/>
      </c>
    </row>
    <row r="282" customFormat="false" ht="15" hidden="false" customHeight="false" outlineLevel="0" collapsed="false">
      <c r="A282" s="25" t="str">
        <f aca="false">IF($H282="","",INDEX(Register!$A$11:$A$510,MATCH($H282,Register!$J$11:$J$510,0))&amp;"")</f>
        <v/>
      </c>
      <c r="B282" s="25" t="str">
        <f aca="false">IF($H282="","",INDEX(Register!$B$11:$B$510,MATCH($H282,Register!$J$11:$J$510,0))&amp;"")</f>
        <v/>
      </c>
      <c r="C282" s="25" t="str">
        <f aca="false">IF($H282="","",INDEX(Register!$C$11:$C$510,MATCH($H282,Register!$J$11:$J$510,0))&amp;"")</f>
        <v/>
      </c>
      <c r="D282" s="26" t="str">
        <f aca="false">IF($H282="","",IF(ISNUMBER(INDEX(Register!$D$11:$D$510,MATCH($H282,Register!$J$11:$J$510,0))),INDEX(Register!$D$11:$D$510,MATCH($H282,Register!$J$11:$J$510,0)),INDEX(Register!$D$11:$D$510,MATCH($H282,Register!$J$11:$J$510,0))&amp;""))</f>
        <v/>
      </c>
      <c r="E282" s="25" t="str">
        <f aca="false">IF($H282="","",IF(ISNUMBER(INDEX(Register!$E$11:$E$510,MATCH($H282,Register!$J$11:$J$510,0))),INDEX(Register!$E$11:$E$510,MATCH($H282,Register!$J$11:$J$510,0))&amp;" mo",INDEX(Register!$E$11:$E$510,MATCH($H282,Register!$J$11:$J$510,0))&amp;""))</f>
        <v/>
      </c>
      <c r="F282" s="26" t="str">
        <f aca="false">IF($H282="","",INDEX(Register!$F$11:$F$510,MATCH($H282,Register!$J$11:$J$510,0)))</f>
        <v/>
      </c>
      <c r="G282" s="27" t="str">
        <f aca="false">IF($H282="","",IF(INDEX(Register!$G$11:$G$510,MATCH($H282,Register!$J$11:$J$510,0))="Check details","Check details: "&amp;INDEX(Register!$I$11:$I$510,MATCH($H282,Register!$J$11:$J$510,0)),INDEX(Register!$G$11:$G$510,MATCH($H282,Register!$J$11:$J$510,0))))</f>
        <v/>
      </c>
      <c r="H282" s="28" t="str">
        <f aca="false">IF(276&gt;COUNT(Register!$J$11:$J$510),"",SMALL(Register!$J$11:$J$510,276))</f>
        <v/>
      </c>
    </row>
    <row r="283" customFormat="false" ht="15" hidden="false" customHeight="false" outlineLevel="0" collapsed="false">
      <c r="A283" s="25" t="str">
        <f aca="false">IF($H283="","",INDEX(Register!$A$11:$A$510,MATCH($H283,Register!$J$11:$J$510,0))&amp;"")</f>
        <v/>
      </c>
      <c r="B283" s="25" t="str">
        <f aca="false">IF($H283="","",INDEX(Register!$B$11:$B$510,MATCH($H283,Register!$J$11:$J$510,0))&amp;"")</f>
        <v/>
      </c>
      <c r="C283" s="25" t="str">
        <f aca="false">IF($H283="","",INDEX(Register!$C$11:$C$510,MATCH($H283,Register!$J$11:$J$510,0))&amp;"")</f>
        <v/>
      </c>
      <c r="D283" s="26" t="str">
        <f aca="false">IF($H283="","",IF(ISNUMBER(INDEX(Register!$D$11:$D$510,MATCH($H283,Register!$J$11:$J$510,0))),INDEX(Register!$D$11:$D$510,MATCH($H283,Register!$J$11:$J$510,0)),INDEX(Register!$D$11:$D$510,MATCH($H283,Register!$J$11:$J$510,0))&amp;""))</f>
        <v/>
      </c>
      <c r="E283" s="25" t="str">
        <f aca="false">IF($H283="","",IF(ISNUMBER(INDEX(Register!$E$11:$E$510,MATCH($H283,Register!$J$11:$J$510,0))),INDEX(Register!$E$11:$E$510,MATCH($H283,Register!$J$11:$J$510,0))&amp;" mo",INDEX(Register!$E$11:$E$510,MATCH($H283,Register!$J$11:$J$510,0))&amp;""))</f>
        <v/>
      </c>
      <c r="F283" s="26" t="str">
        <f aca="false">IF($H283="","",INDEX(Register!$F$11:$F$510,MATCH($H283,Register!$J$11:$J$510,0)))</f>
        <v/>
      </c>
      <c r="G283" s="27" t="str">
        <f aca="false">IF($H283="","",IF(INDEX(Register!$G$11:$G$510,MATCH($H283,Register!$J$11:$J$510,0))="Check details","Check details: "&amp;INDEX(Register!$I$11:$I$510,MATCH($H283,Register!$J$11:$J$510,0)),INDEX(Register!$G$11:$G$510,MATCH($H283,Register!$J$11:$J$510,0))))</f>
        <v/>
      </c>
      <c r="H283" s="28" t="str">
        <f aca="false">IF(277&gt;COUNT(Register!$J$11:$J$510),"",SMALL(Register!$J$11:$J$510,277))</f>
        <v/>
      </c>
    </row>
    <row r="284" customFormat="false" ht="15" hidden="false" customHeight="false" outlineLevel="0" collapsed="false">
      <c r="A284" s="25" t="str">
        <f aca="false">IF($H284="","",INDEX(Register!$A$11:$A$510,MATCH($H284,Register!$J$11:$J$510,0))&amp;"")</f>
        <v/>
      </c>
      <c r="B284" s="25" t="str">
        <f aca="false">IF($H284="","",INDEX(Register!$B$11:$B$510,MATCH($H284,Register!$J$11:$J$510,0))&amp;"")</f>
        <v/>
      </c>
      <c r="C284" s="25" t="str">
        <f aca="false">IF($H284="","",INDEX(Register!$C$11:$C$510,MATCH($H284,Register!$J$11:$J$510,0))&amp;"")</f>
        <v/>
      </c>
      <c r="D284" s="26" t="str">
        <f aca="false">IF($H284="","",IF(ISNUMBER(INDEX(Register!$D$11:$D$510,MATCH($H284,Register!$J$11:$J$510,0))),INDEX(Register!$D$11:$D$510,MATCH($H284,Register!$J$11:$J$510,0)),INDEX(Register!$D$11:$D$510,MATCH($H284,Register!$J$11:$J$510,0))&amp;""))</f>
        <v/>
      </c>
      <c r="E284" s="25" t="str">
        <f aca="false">IF($H284="","",IF(ISNUMBER(INDEX(Register!$E$11:$E$510,MATCH($H284,Register!$J$11:$J$510,0))),INDEX(Register!$E$11:$E$510,MATCH($H284,Register!$J$11:$J$510,0))&amp;" mo",INDEX(Register!$E$11:$E$510,MATCH($H284,Register!$J$11:$J$510,0))&amp;""))</f>
        <v/>
      </c>
      <c r="F284" s="26" t="str">
        <f aca="false">IF($H284="","",INDEX(Register!$F$11:$F$510,MATCH($H284,Register!$J$11:$J$510,0)))</f>
        <v/>
      </c>
      <c r="G284" s="27" t="str">
        <f aca="false">IF($H284="","",IF(INDEX(Register!$G$11:$G$510,MATCH($H284,Register!$J$11:$J$510,0))="Check details","Check details: "&amp;INDEX(Register!$I$11:$I$510,MATCH($H284,Register!$J$11:$J$510,0)),INDEX(Register!$G$11:$G$510,MATCH($H284,Register!$J$11:$J$510,0))))</f>
        <v/>
      </c>
      <c r="H284" s="28" t="str">
        <f aca="false">IF(278&gt;COUNT(Register!$J$11:$J$510),"",SMALL(Register!$J$11:$J$510,278))</f>
        <v/>
      </c>
    </row>
    <row r="285" customFormat="false" ht="15" hidden="false" customHeight="false" outlineLevel="0" collapsed="false">
      <c r="A285" s="25" t="str">
        <f aca="false">IF($H285="","",INDEX(Register!$A$11:$A$510,MATCH($H285,Register!$J$11:$J$510,0))&amp;"")</f>
        <v/>
      </c>
      <c r="B285" s="25" t="str">
        <f aca="false">IF($H285="","",INDEX(Register!$B$11:$B$510,MATCH($H285,Register!$J$11:$J$510,0))&amp;"")</f>
        <v/>
      </c>
      <c r="C285" s="25" t="str">
        <f aca="false">IF($H285="","",INDEX(Register!$C$11:$C$510,MATCH($H285,Register!$J$11:$J$510,0))&amp;"")</f>
        <v/>
      </c>
      <c r="D285" s="26" t="str">
        <f aca="false">IF($H285="","",IF(ISNUMBER(INDEX(Register!$D$11:$D$510,MATCH($H285,Register!$J$11:$J$510,0))),INDEX(Register!$D$11:$D$510,MATCH($H285,Register!$J$11:$J$510,0)),INDEX(Register!$D$11:$D$510,MATCH($H285,Register!$J$11:$J$510,0))&amp;""))</f>
        <v/>
      </c>
      <c r="E285" s="25" t="str">
        <f aca="false">IF($H285="","",IF(ISNUMBER(INDEX(Register!$E$11:$E$510,MATCH($H285,Register!$J$11:$J$510,0))),INDEX(Register!$E$11:$E$510,MATCH($H285,Register!$J$11:$J$510,0))&amp;" mo",INDEX(Register!$E$11:$E$510,MATCH($H285,Register!$J$11:$J$510,0))&amp;""))</f>
        <v/>
      </c>
      <c r="F285" s="26" t="str">
        <f aca="false">IF($H285="","",INDEX(Register!$F$11:$F$510,MATCH($H285,Register!$J$11:$J$510,0)))</f>
        <v/>
      </c>
      <c r="G285" s="27" t="str">
        <f aca="false">IF($H285="","",IF(INDEX(Register!$G$11:$G$510,MATCH($H285,Register!$J$11:$J$510,0))="Check details","Check details: "&amp;INDEX(Register!$I$11:$I$510,MATCH($H285,Register!$J$11:$J$510,0)),INDEX(Register!$G$11:$G$510,MATCH($H285,Register!$J$11:$J$510,0))))</f>
        <v/>
      </c>
      <c r="H285" s="28" t="str">
        <f aca="false">IF(279&gt;COUNT(Register!$J$11:$J$510),"",SMALL(Register!$J$11:$J$510,279))</f>
        <v/>
      </c>
    </row>
    <row r="286" customFormat="false" ht="15" hidden="false" customHeight="false" outlineLevel="0" collapsed="false">
      <c r="A286" s="25" t="str">
        <f aca="false">IF($H286="","",INDEX(Register!$A$11:$A$510,MATCH($H286,Register!$J$11:$J$510,0))&amp;"")</f>
        <v/>
      </c>
      <c r="B286" s="25" t="str">
        <f aca="false">IF($H286="","",INDEX(Register!$B$11:$B$510,MATCH($H286,Register!$J$11:$J$510,0))&amp;"")</f>
        <v/>
      </c>
      <c r="C286" s="25" t="str">
        <f aca="false">IF($H286="","",INDEX(Register!$C$11:$C$510,MATCH($H286,Register!$J$11:$J$510,0))&amp;"")</f>
        <v/>
      </c>
      <c r="D286" s="26" t="str">
        <f aca="false">IF($H286="","",IF(ISNUMBER(INDEX(Register!$D$11:$D$510,MATCH($H286,Register!$J$11:$J$510,0))),INDEX(Register!$D$11:$D$510,MATCH($H286,Register!$J$11:$J$510,0)),INDEX(Register!$D$11:$D$510,MATCH($H286,Register!$J$11:$J$510,0))&amp;""))</f>
        <v/>
      </c>
      <c r="E286" s="25" t="str">
        <f aca="false">IF($H286="","",IF(ISNUMBER(INDEX(Register!$E$11:$E$510,MATCH($H286,Register!$J$11:$J$510,0))),INDEX(Register!$E$11:$E$510,MATCH($H286,Register!$J$11:$J$510,0))&amp;" mo",INDEX(Register!$E$11:$E$510,MATCH($H286,Register!$J$11:$J$510,0))&amp;""))</f>
        <v/>
      </c>
      <c r="F286" s="26" t="str">
        <f aca="false">IF($H286="","",INDEX(Register!$F$11:$F$510,MATCH($H286,Register!$J$11:$J$510,0)))</f>
        <v/>
      </c>
      <c r="G286" s="27" t="str">
        <f aca="false">IF($H286="","",IF(INDEX(Register!$G$11:$G$510,MATCH($H286,Register!$J$11:$J$510,0))="Check details","Check details: "&amp;INDEX(Register!$I$11:$I$510,MATCH($H286,Register!$J$11:$J$510,0)),INDEX(Register!$G$11:$G$510,MATCH($H286,Register!$J$11:$J$510,0))))</f>
        <v/>
      </c>
      <c r="H286" s="28" t="str">
        <f aca="false">IF(280&gt;COUNT(Register!$J$11:$J$510),"",SMALL(Register!$J$11:$J$510,280))</f>
        <v/>
      </c>
    </row>
    <row r="287" customFormat="false" ht="15" hidden="false" customHeight="false" outlineLevel="0" collapsed="false">
      <c r="A287" s="25" t="str">
        <f aca="false">IF($H287="","",INDEX(Register!$A$11:$A$510,MATCH($H287,Register!$J$11:$J$510,0))&amp;"")</f>
        <v/>
      </c>
      <c r="B287" s="25" t="str">
        <f aca="false">IF($H287="","",INDEX(Register!$B$11:$B$510,MATCH($H287,Register!$J$11:$J$510,0))&amp;"")</f>
        <v/>
      </c>
      <c r="C287" s="25" t="str">
        <f aca="false">IF($H287="","",INDEX(Register!$C$11:$C$510,MATCH($H287,Register!$J$11:$J$510,0))&amp;"")</f>
        <v/>
      </c>
      <c r="D287" s="26" t="str">
        <f aca="false">IF($H287="","",IF(ISNUMBER(INDEX(Register!$D$11:$D$510,MATCH($H287,Register!$J$11:$J$510,0))),INDEX(Register!$D$11:$D$510,MATCH($H287,Register!$J$11:$J$510,0)),INDEX(Register!$D$11:$D$510,MATCH($H287,Register!$J$11:$J$510,0))&amp;""))</f>
        <v/>
      </c>
      <c r="E287" s="25" t="str">
        <f aca="false">IF($H287="","",IF(ISNUMBER(INDEX(Register!$E$11:$E$510,MATCH($H287,Register!$J$11:$J$510,0))),INDEX(Register!$E$11:$E$510,MATCH($H287,Register!$J$11:$J$510,0))&amp;" mo",INDEX(Register!$E$11:$E$510,MATCH($H287,Register!$J$11:$J$510,0))&amp;""))</f>
        <v/>
      </c>
      <c r="F287" s="26" t="str">
        <f aca="false">IF($H287="","",INDEX(Register!$F$11:$F$510,MATCH($H287,Register!$J$11:$J$510,0)))</f>
        <v/>
      </c>
      <c r="G287" s="27" t="str">
        <f aca="false">IF($H287="","",IF(INDEX(Register!$G$11:$G$510,MATCH($H287,Register!$J$11:$J$510,0))="Check details","Check details: "&amp;INDEX(Register!$I$11:$I$510,MATCH($H287,Register!$J$11:$J$510,0)),INDEX(Register!$G$11:$G$510,MATCH($H287,Register!$J$11:$J$510,0))))</f>
        <v/>
      </c>
      <c r="H287" s="28" t="str">
        <f aca="false">IF(281&gt;COUNT(Register!$J$11:$J$510),"",SMALL(Register!$J$11:$J$510,281))</f>
        <v/>
      </c>
    </row>
    <row r="288" customFormat="false" ht="15" hidden="false" customHeight="false" outlineLevel="0" collapsed="false">
      <c r="A288" s="25" t="str">
        <f aca="false">IF($H288="","",INDEX(Register!$A$11:$A$510,MATCH($H288,Register!$J$11:$J$510,0))&amp;"")</f>
        <v/>
      </c>
      <c r="B288" s="25" t="str">
        <f aca="false">IF($H288="","",INDEX(Register!$B$11:$B$510,MATCH($H288,Register!$J$11:$J$510,0))&amp;"")</f>
        <v/>
      </c>
      <c r="C288" s="25" t="str">
        <f aca="false">IF($H288="","",INDEX(Register!$C$11:$C$510,MATCH($H288,Register!$J$11:$J$510,0))&amp;"")</f>
        <v/>
      </c>
      <c r="D288" s="26" t="str">
        <f aca="false">IF($H288="","",IF(ISNUMBER(INDEX(Register!$D$11:$D$510,MATCH($H288,Register!$J$11:$J$510,0))),INDEX(Register!$D$11:$D$510,MATCH($H288,Register!$J$11:$J$510,0)),INDEX(Register!$D$11:$D$510,MATCH($H288,Register!$J$11:$J$510,0))&amp;""))</f>
        <v/>
      </c>
      <c r="E288" s="25" t="str">
        <f aca="false">IF($H288="","",IF(ISNUMBER(INDEX(Register!$E$11:$E$510,MATCH($H288,Register!$J$11:$J$510,0))),INDEX(Register!$E$11:$E$510,MATCH($H288,Register!$J$11:$J$510,0))&amp;" mo",INDEX(Register!$E$11:$E$510,MATCH($H288,Register!$J$11:$J$510,0))&amp;""))</f>
        <v/>
      </c>
      <c r="F288" s="26" t="str">
        <f aca="false">IF($H288="","",INDEX(Register!$F$11:$F$510,MATCH($H288,Register!$J$11:$J$510,0)))</f>
        <v/>
      </c>
      <c r="G288" s="27" t="str">
        <f aca="false">IF($H288="","",IF(INDEX(Register!$G$11:$G$510,MATCH($H288,Register!$J$11:$J$510,0))="Check details","Check details: "&amp;INDEX(Register!$I$11:$I$510,MATCH($H288,Register!$J$11:$J$510,0)),INDEX(Register!$G$11:$G$510,MATCH($H288,Register!$J$11:$J$510,0))))</f>
        <v/>
      </c>
      <c r="H288" s="28" t="str">
        <f aca="false">IF(282&gt;COUNT(Register!$J$11:$J$510),"",SMALL(Register!$J$11:$J$510,282))</f>
        <v/>
      </c>
    </row>
    <row r="289" customFormat="false" ht="15" hidden="false" customHeight="false" outlineLevel="0" collapsed="false">
      <c r="A289" s="25" t="str">
        <f aca="false">IF($H289="","",INDEX(Register!$A$11:$A$510,MATCH($H289,Register!$J$11:$J$510,0))&amp;"")</f>
        <v/>
      </c>
      <c r="B289" s="25" t="str">
        <f aca="false">IF($H289="","",INDEX(Register!$B$11:$B$510,MATCH($H289,Register!$J$11:$J$510,0))&amp;"")</f>
        <v/>
      </c>
      <c r="C289" s="25" t="str">
        <f aca="false">IF($H289="","",INDEX(Register!$C$11:$C$510,MATCH($H289,Register!$J$11:$J$510,0))&amp;"")</f>
        <v/>
      </c>
      <c r="D289" s="26" t="str">
        <f aca="false">IF($H289="","",IF(ISNUMBER(INDEX(Register!$D$11:$D$510,MATCH($H289,Register!$J$11:$J$510,0))),INDEX(Register!$D$11:$D$510,MATCH($H289,Register!$J$11:$J$510,0)),INDEX(Register!$D$11:$D$510,MATCH($H289,Register!$J$11:$J$510,0))&amp;""))</f>
        <v/>
      </c>
      <c r="E289" s="25" t="str">
        <f aca="false">IF($H289="","",IF(ISNUMBER(INDEX(Register!$E$11:$E$510,MATCH($H289,Register!$J$11:$J$510,0))),INDEX(Register!$E$11:$E$510,MATCH($H289,Register!$J$11:$J$510,0))&amp;" mo",INDEX(Register!$E$11:$E$510,MATCH($H289,Register!$J$11:$J$510,0))&amp;""))</f>
        <v/>
      </c>
      <c r="F289" s="26" t="str">
        <f aca="false">IF($H289="","",INDEX(Register!$F$11:$F$510,MATCH($H289,Register!$J$11:$J$510,0)))</f>
        <v/>
      </c>
      <c r="G289" s="27" t="str">
        <f aca="false">IF($H289="","",IF(INDEX(Register!$G$11:$G$510,MATCH($H289,Register!$J$11:$J$510,0))="Check details","Check details: "&amp;INDEX(Register!$I$11:$I$510,MATCH($H289,Register!$J$11:$J$510,0)),INDEX(Register!$G$11:$G$510,MATCH($H289,Register!$J$11:$J$510,0))))</f>
        <v/>
      </c>
      <c r="H289" s="28" t="str">
        <f aca="false">IF(283&gt;COUNT(Register!$J$11:$J$510),"",SMALL(Register!$J$11:$J$510,283))</f>
        <v/>
      </c>
    </row>
    <row r="290" customFormat="false" ht="15" hidden="false" customHeight="false" outlineLevel="0" collapsed="false">
      <c r="A290" s="25" t="str">
        <f aca="false">IF($H290="","",INDEX(Register!$A$11:$A$510,MATCH($H290,Register!$J$11:$J$510,0))&amp;"")</f>
        <v/>
      </c>
      <c r="B290" s="25" t="str">
        <f aca="false">IF($H290="","",INDEX(Register!$B$11:$B$510,MATCH($H290,Register!$J$11:$J$510,0))&amp;"")</f>
        <v/>
      </c>
      <c r="C290" s="25" t="str">
        <f aca="false">IF($H290="","",INDEX(Register!$C$11:$C$510,MATCH($H290,Register!$J$11:$J$510,0))&amp;"")</f>
        <v/>
      </c>
      <c r="D290" s="26" t="str">
        <f aca="false">IF($H290="","",IF(ISNUMBER(INDEX(Register!$D$11:$D$510,MATCH($H290,Register!$J$11:$J$510,0))),INDEX(Register!$D$11:$D$510,MATCH($H290,Register!$J$11:$J$510,0)),INDEX(Register!$D$11:$D$510,MATCH($H290,Register!$J$11:$J$510,0))&amp;""))</f>
        <v/>
      </c>
      <c r="E290" s="25" t="str">
        <f aca="false">IF($H290="","",IF(ISNUMBER(INDEX(Register!$E$11:$E$510,MATCH($H290,Register!$J$11:$J$510,0))),INDEX(Register!$E$11:$E$510,MATCH($H290,Register!$J$11:$J$510,0))&amp;" mo",INDEX(Register!$E$11:$E$510,MATCH($H290,Register!$J$11:$J$510,0))&amp;""))</f>
        <v/>
      </c>
      <c r="F290" s="26" t="str">
        <f aca="false">IF($H290="","",INDEX(Register!$F$11:$F$510,MATCH($H290,Register!$J$11:$J$510,0)))</f>
        <v/>
      </c>
      <c r="G290" s="27" t="str">
        <f aca="false">IF($H290="","",IF(INDEX(Register!$G$11:$G$510,MATCH($H290,Register!$J$11:$J$510,0))="Check details","Check details: "&amp;INDEX(Register!$I$11:$I$510,MATCH($H290,Register!$J$11:$J$510,0)),INDEX(Register!$G$11:$G$510,MATCH($H290,Register!$J$11:$J$510,0))))</f>
        <v/>
      </c>
      <c r="H290" s="28" t="str">
        <f aca="false">IF(284&gt;COUNT(Register!$J$11:$J$510),"",SMALL(Register!$J$11:$J$510,284))</f>
        <v/>
      </c>
    </row>
    <row r="291" customFormat="false" ht="15" hidden="false" customHeight="false" outlineLevel="0" collapsed="false">
      <c r="A291" s="25" t="str">
        <f aca="false">IF($H291="","",INDEX(Register!$A$11:$A$510,MATCH($H291,Register!$J$11:$J$510,0))&amp;"")</f>
        <v/>
      </c>
      <c r="B291" s="25" t="str">
        <f aca="false">IF($H291="","",INDEX(Register!$B$11:$B$510,MATCH($H291,Register!$J$11:$J$510,0))&amp;"")</f>
        <v/>
      </c>
      <c r="C291" s="25" t="str">
        <f aca="false">IF($H291="","",INDEX(Register!$C$11:$C$510,MATCH($H291,Register!$J$11:$J$510,0))&amp;"")</f>
        <v/>
      </c>
      <c r="D291" s="26" t="str">
        <f aca="false">IF($H291="","",IF(ISNUMBER(INDEX(Register!$D$11:$D$510,MATCH($H291,Register!$J$11:$J$510,0))),INDEX(Register!$D$11:$D$510,MATCH($H291,Register!$J$11:$J$510,0)),INDEX(Register!$D$11:$D$510,MATCH($H291,Register!$J$11:$J$510,0))&amp;""))</f>
        <v/>
      </c>
      <c r="E291" s="25" t="str">
        <f aca="false">IF($H291="","",IF(ISNUMBER(INDEX(Register!$E$11:$E$510,MATCH($H291,Register!$J$11:$J$510,0))),INDEX(Register!$E$11:$E$510,MATCH($H291,Register!$J$11:$J$510,0))&amp;" mo",INDEX(Register!$E$11:$E$510,MATCH($H291,Register!$J$11:$J$510,0))&amp;""))</f>
        <v/>
      </c>
      <c r="F291" s="26" t="str">
        <f aca="false">IF($H291="","",INDEX(Register!$F$11:$F$510,MATCH($H291,Register!$J$11:$J$510,0)))</f>
        <v/>
      </c>
      <c r="G291" s="27" t="str">
        <f aca="false">IF($H291="","",IF(INDEX(Register!$G$11:$G$510,MATCH($H291,Register!$J$11:$J$510,0))="Check details","Check details: "&amp;INDEX(Register!$I$11:$I$510,MATCH($H291,Register!$J$11:$J$510,0)),INDEX(Register!$G$11:$G$510,MATCH($H291,Register!$J$11:$J$510,0))))</f>
        <v/>
      </c>
      <c r="H291" s="28" t="str">
        <f aca="false">IF(285&gt;COUNT(Register!$J$11:$J$510),"",SMALL(Register!$J$11:$J$510,285))</f>
        <v/>
      </c>
    </row>
    <row r="292" customFormat="false" ht="15" hidden="false" customHeight="false" outlineLevel="0" collapsed="false">
      <c r="A292" s="25" t="str">
        <f aca="false">IF($H292="","",INDEX(Register!$A$11:$A$510,MATCH($H292,Register!$J$11:$J$510,0))&amp;"")</f>
        <v/>
      </c>
      <c r="B292" s="25" t="str">
        <f aca="false">IF($H292="","",INDEX(Register!$B$11:$B$510,MATCH($H292,Register!$J$11:$J$510,0))&amp;"")</f>
        <v/>
      </c>
      <c r="C292" s="25" t="str">
        <f aca="false">IF($H292="","",INDEX(Register!$C$11:$C$510,MATCH($H292,Register!$J$11:$J$510,0))&amp;"")</f>
        <v/>
      </c>
      <c r="D292" s="26" t="str">
        <f aca="false">IF($H292="","",IF(ISNUMBER(INDEX(Register!$D$11:$D$510,MATCH($H292,Register!$J$11:$J$510,0))),INDEX(Register!$D$11:$D$510,MATCH($H292,Register!$J$11:$J$510,0)),INDEX(Register!$D$11:$D$510,MATCH($H292,Register!$J$11:$J$510,0))&amp;""))</f>
        <v/>
      </c>
      <c r="E292" s="25" t="str">
        <f aca="false">IF($H292="","",IF(ISNUMBER(INDEX(Register!$E$11:$E$510,MATCH($H292,Register!$J$11:$J$510,0))),INDEX(Register!$E$11:$E$510,MATCH($H292,Register!$J$11:$J$510,0))&amp;" mo",INDEX(Register!$E$11:$E$510,MATCH($H292,Register!$J$11:$J$510,0))&amp;""))</f>
        <v/>
      </c>
      <c r="F292" s="26" t="str">
        <f aca="false">IF($H292="","",INDEX(Register!$F$11:$F$510,MATCH($H292,Register!$J$11:$J$510,0)))</f>
        <v/>
      </c>
      <c r="G292" s="27" t="str">
        <f aca="false">IF($H292="","",IF(INDEX(Register!$G$11:$G$510,MATCH($H292,Register!$J$11:$J$510,0))="Check details","Check details: "&amp;INDEX(Register!$I$11:$I$510,MATCH($H292,Register!$J$11:$J$510,0)),INDEX(Register!$G$11:$G$510,MATCH($H292,Register!$J$11:$J$510,0))))</f>
        <v/>
      </c>
      <c r="H292" s="28" t="str">
        <f aca="false">IF(286&gt;COUNT(Register!$J$11:$J$510),"",SMALL(Register!$J$11:$J$510,286))</f>
        <v/>
      </c>
    </row>
    <row r="293" customFormat="false" ht="15" hidden="false" customHeight="false" outlineLevel="0" collapsed="false">
      <c r="A293" s="25" t="str">
        <f aca="false">IF($H293="","",INDEX(Register!$A$11:$A$510,MATCH($H293,Register!$J$11:$J$510,0))&amp;"")</f>
        <v/>
      </c>
      <c r="B293" s="25" t="str">
        <f aca="false">IF($H293="","",INDEX(Register!$B$11:$B$510,MATCH($H293,Register!$J$11:$J$510,0))&amp;"")</f>
        <v/>
      </c>
      <c r="C293" s="25" t="str">
        <f aca="false">IF($H293="","",INDEX(Register!$C$11:$C$510,MATCH($H293,Register!$J$11:$J$510,0))&amp;"")</f>
        <v/>
      </c>
      <c r="D293" s="26" t="str">
        <f aca="false">IF($H293="","",IF(ISNUMBER(INDEX(Register!$D$11:$D$510,MATCH($H293,Register!$J$11:$J$510,0))),INDEX(Register!$D$11:$D$510,MATCH($H293,Register!$J$11:$J$510,0)),INDEX(Register!$D$11:$D$510,MATCH($H293,Register!$J$11:$J$510,0))&amp;""))</f>
        <v/>
      </c>
      <c r="E293" s="25" t="str">
        <f aca="false">IF($H293="","",IF(ISNUMBER(INDEX(Register!$E$11:$E$510,MATCH($H293,Register!$J$11:$J$510,0))),INDEX(Register!$E$11:$E$510,MATCH($H293,Register!$J$11:$J$510,0))&amp;" mo",INDEX(Register!$E$11:$E$510,MATCH($H293,Register!$J$11:$J$510,0))&amp;""))</f>
        <v/>
      </c>
      <c r="F293" s="26" t="str">
        <f aca="false">IF($H293="","",INDEX(Register!$F$11:$F$510,MATCH($H293,Register!$J$11:$J$510,0)))</f>
        <v/>
      </c>
      <c r="G293" s="27" t="str">
        <f aca="false">IF($H293="","",IF(INDEX(Register!$G$11:$G$510,MATCH($H293,Register!$J$11:$J$510,0))="Check details","Check details: "&amp;INDEX(Register!$I$11:$I$510,MATCH($H293,Register!$J$11:$J$510,0)),INDEX(Register!$G$11:$G$510,MATCH($H293,Register!$J$11:$J$510,0))))</f>
        <v/>
      </c>
      <c r="H293" s="28" t="str">
        <f aca="false">IF(287&gt;COUNT(Register!$J$11:$J$510),"",SMALL(Register!$J$11:$J$510,287))</f>
        <v/>
      </c>
    </row>
    <row r="294" customFormat="false" ht="15" hidden="false" customHeight="false" outlineLevel="0" collapsed="false">
      <c r="A294" s="25" t="str">
        <f aca="false">IF($H294="","",INDEX(Register!$A$11:$A$510,MATCH($H294,Register!$J$11:$J$510,0))&amp;"")</f>
        <v/>
      </c>
      <c r="B294" s="25" t="str">
        <f aca="false">IF($H294="","",INDEX(Register!$B$11:$B$510,MATCH($H294,Register!$J$11:$J$510,0))&amp;"")</f>
        <v/>
      </c>
      <c r="C294" s="25" t="str">
        <f aca="false">IF($H294="","",INDEX(Register!$C$11:$C$510,MATCH($H294,Register!$J$11:$J$510,0))&amp;"")</f>
        <v/>
      </c>
      <c r="D294" s="26" t="str">
        <f aca="false">IF($H294="","",IF(ISNUMBER(INDEX(Register!$D$11:$D$510,MATCH($H294,Register!$J$11:$J$510,0))),INDEX(Register!$D$11:$D$510,MATCH($H294,Register!$J$11:$J$510,0)),INDEX(Register!$D$11:$D$510,MATCH($H294,Register!$J$11:$J$510,0))&amp;""))</f>
        <v/>
      </c>
      <c r="E294" s="25" t="str">
        <f aca="false">IF($H294="","",IF(ISNUMBER(INDEX(Register!$E$11:$E$510,MATCH($H294,Register!$J$11:$J$510,0))),INDEX(Register!$E$11:$E$510,MATCH($H294,Register!$J$11:$J$510,0))&amp;" mo",INDEX(Register!$E$11:$E$510,MATCH($H294,Register!$J$11:$J$510,0))&amp;""))</f>
        <v/>
      </c>
      <c r="F294" s="26" t="str">
        <f aca="false">IF($H294="","",INDEX(Register!$F$11:$F$510,MATCH($H294,Register!$J$11:$J$510,0)))</f>
        <v/>
      </c>
      <c r="G294" s="27" t="str">
        <f aca="false">IF($H294="","",IF(INDEX(Register!$G$11:$G$510,MATCH($H294,Register!$J$11:$J$510,0))="Check details","Check details: "&amp;INDEX(Register!$I$11:$I$510,MATCH($H294,Register!$J$11:$J$510,0)),INDEX(Register!$G$11:$G$510,MATCH($H294,Register!$J$11:$J$510,0))))</f>
        <v/>
      </c>
      <c r="H294" s="28" t="str">
        <f aca="false">IF(288&gt;COUNT(Register!$J$11:$J$510),"",SMALL(Register!$J$11:$J$510,288))</f>
        <v/>
      </c>
    </row>
    <row r="295" customFormat="false" ht="15" hidden="false" customHeight="false" outlineLevel="0" collapsed="false">
      <c r="A295" s="25" t="str">
        <f aca="false">IF($H295="","",INDEX(Register!$A$11:$A$510,MATCH($H295,Register!$J$11:$J$510,0))&amp;"")</f>
        <v/>
      </c>
      <c r="B295" s="25" t="str">
        <f aca="false">IF($H295="","",INDEX(Register!$B$11:$B$510,MATCH($H295,Register!$J$11:$J$510,0))&amp;"")</f>
        <v/>
      </c>
      <c r="C295" s="25" t="str">
        <f aca="false">IF($H295="","",INDEX(Register!$C$11:$C$510,MATCH($H295,Register!$J$11:$J$510,0))&amp;"")</f>
        <v/>
      </c>
      <c r="D295" s="26" t="str">
        <f aca="false">IF($H295="","",IF(ISNUMBER(INDEX(Register!$D$11:$D$510,MATCH($H295,Register!$J$11:$J$510,0))),INDEX(Register!$D$11:$D$510,MATCH($H295,Register!$J$11:$J$510,0)),INDEX(Register!$D$11:$D$510,MATCH($H295,Register!$J$11:$J$510,0))&amp;""))</f>
        <v/>
      </c>
      <c r="E295" s="25" t="str">
        <f aca="false">IF($H295="","",IF(ISNUMBER(INDEX(Register!$E$11:$E$510,MATCH($H295,Register!$J$11:$J$510,0))),INDEX(Register!$E$11:$E$510,MATCH($H295,Register!$J$11:$J$510,0))&amp;" mo",INDEX(Register!$E$11:$E$510,MATCH($H295,Register!$J$11:$J$510,0))&amp;""))</f>
        <v/>
      </c>
      <c r="F295" s="26" t="str">
        <f aca="false">IF($H295="","",INDEX(Register!$F$11:$F$510,MATCH($H295,Register!$J$11:$J$510,0)))</f>
        <v/>
      </c>
      <c r="G295" s="27" t="str">
        <f aca="false">IF($H295="","",IF(INDEX(Register!$G$11:$G$510,MATCH($H295,Register!$J$11:$J$510,0))="Check details","Check details: "&amp;INDEX(Register!$I$11:$I$510,MATCH($H295,Register!$J$11:$J$510,0)),INDEX(Register!$G$11:$G$510,MATCH($H295,Register!$J$11:$J$510,0))))</f>
        <v/>
      </c>
      <c r="H295" s="28" t="str">
        <f aca="false">IF(289&gt;COUNT(Register!$J$11:$J$510),"",SMALL(Register!$J$11:$J$510,289))</f>
        <v/>
      </c>
    </row>
    <row r="296" customFormat="false" ht="15" hidden="false" customHeight="false" outlineLevel="0" collapsed="false">
      <c r="A296" s="25" t="str">
        <f aca="false">IF($H296="","",INDEX(Register!$A$11:$A$510,MATCH($H296,Register!$J$11:$J$510,0))&amp;"")</f>
        <v/>
      </c>
      <c r="B296" s="25" t="str">
        <f aca="false">IF($H296="","",INDEX(Register!$B$11:$B$510,MATCH($H296,Register!$J$11:$J$510,0))&amp;"")</f>
        <v/>
      </c>
      <c r="C296" s="25" t="str">
        <f aca="false">IF($H296="","",INDEX(Register!$C$11:$C$510,MATCH($H296,Register!$J$11:$J$510,0))&amp;"")</f>
        <v/>
      </c>
      <c r="D296" s="26" t="str">
        <f aca="false">IF($H296="","",IF(ISNUMBER(INDEX(Register!$D$11:$D$510,MATCH($H296,Register!$J$11:$J$510,0))),INDEX(Register!$D$11:$D$510,MATCH($H296,Register!$J$11:$J$510,0)),INDEX(Register!$D$11:$D$510,MATCH($H296,Register!$J$11:$J$510,0))&amp;""))</f>
        <v/>
      </c>
      <c r="E296" s="25" t="str">
        <f aca="false">IF($H296="","",IF(ISNUMBER(INDEX(Register!$E$11:$E$510,MATCH($H296,Register!$J$11:$J$510,0))),INDEX(Register!$E$11:$E$510,MATCH($H296,Register!$J$11:$J$510,0))&amp;" mo",INDEX(Register!$E$11:$E$510,MATCH($H296,Register!$J$11:$J$510,0))&amp;""))</f>
        <v/>
      </c>
      <c r="F296" s="26" t="str">
        <f aca="false">IF($H296="","",INDEX(Register!$F$11:$F$510,MATCH($H296,Register!$J$11:$J$510,0)))</f>
        <v/>
      </c>
      <c r="G296" s="27" t="str">
        <f aca="false">IF($H296="","",IF(INDEX(Register!$G$11:$G$510,MATCH($H296,Register!$J$11:$J$510,0))="Check details","Check details: "&amp;INDEX(Register!$I$11:$I$510,MATCH($H296,Register!$J$11:$J$510,0)),INDEX(Register!$G$11:$G$510,MATCH($H296,Register!$J$11:$J$510,0))))</f>
        <v/>
      </c>
      <c r="H296" s="28" t="str">
        <f aca="false">IF(290&gt;COUNT(Register!$J$11:$J$510),"",SMALL(Register!$J$11:$J$510,290))</f>
        <v/>
      </c>
    </row>
    <row r="297" customFormat="false" ht="15" hidden="false" customHeight="false" outlineLevel="0" collapsed="false">
      <c r="A297" s="25" t="str">
        <f aca="false">IF($H297="","",INDEX(Register!$A$11:$A$510,MATCH($H297,Register!$J$11:$J$510,0))&amp;"")</f>
        <v/>
      </c>
      <c r="B297" s="25" t="str">
        <f aca="false">IF($H297="","",INDEX(Register!$B$11:$B$510,MATCH($H297,Register!$J$11:$J$510,0))&amp;"")</f>
        <v/>
      </c>
      <c r="C297" s="25" t="str">
        <f aca="false">IF($H297="","",INDEX(Register!$C$11:$C$510,MATCH($H297,Register!$J$11:$J$510,0))&amp;"")</f>
        <v/>
      </c>
      <c r="D297" s="26" t="str">
        <f aca="false">IF($H297="","",IF(ISNUMBER(INDEX(Register!$D$11:$D$510,MATCH($H297,Register!$J$11:$J$510,0))),INDEX(Register!$D$11:$D$510,MATCH($H297,Register!$J$11:$J$510,0)),INDEX(Register!$D$11:$D$510,MATCH($H297,Register!$J$11:$J$510,0))&amp;""))</f>
        <v/>
      </c>
      <c r="E297" s="25" t="str">
        <f aca="false">IF($H297="","",IF(ISNUMBER(INDEX(Register!$E$11:$E$510,MATCH($H297,Register!$J$11:$J$510,0))),INDEX(Register!$E$11:$E$510,MATCH($H297,Register!$J$11:$J$510,0))&amp;" mo",INDEX(Register!$E$11:$E$510,MATCH($H297,Register!$J$11:$J$510,0))&amp;""))</f>
        <v/>
      </c>
      <c r="F297" s="26" t="str">
        <f aca="false">IF($H297="","",INDEX(Register!$F$11:$F$510,MATCH($H297,Register!$J$11:$J$510,0)))</f>
        <v/>
      </c>
      <c r="G297" s="27" t="str">
        <f aca="false">IF($H297="","",IF(INDEX(Register!$G$11:$G$510,MATCH($H297,Register!$J$11:$J$510,0))="Check details","Check details: "&amp;INDEX(Register!$I$11:$I$510,MATCH($H297,Register!$J$11:$J$510,0)),INDEX(Register!$G$11:$G$510,MATCH($H297,Register!$J$11:$J$510,0))))</f>
        <v/>
      </c>
      <c r="H297" s="28" t="str">
        <f aca="false">IF(291&gt;COUNT(Register!$J$11:$J$510),"",SMALL(Register!$J$11:$J$510,291))</f>
        <v/>
      </c>
    </row>
    <row r="298" customFormat="false" ht="15" hidden="false" customHeight="false" outlineLevel="0" collapsed="false">
      <c r="A298" s="25" t="str">
        <f aca="false">IF($H298="","",INDEX(Register!$A$11:$A$510,MATCH($H298,Register!$J$11:$J$510,0))&amp;"")</f>
        <v/>
      </c>
      <c r="B298" s="25" t="str">
        <f aca="false">IF($H298="","",INDEX(Register!$B$11:$B$510,MATCH($H298,Register!$J$11:$J$510,0))&amp;"")</f>
        <v/>
      </c>
      <c r="C298" s="25" t="str">
        <f aca="false">IF($H298="","",INDEX(Register!$C$11:$C$510,MATCH($H298,Register!$J$11:$J$510,0))&amp;"")</f>
        <v/>
      </c>
      <c r="D298" s="26" t="str">
        <f aca="false">IF($H298="","",IF(ISNUMBER(INDEX(Register!$D$11:$D$510,MATCH($H298,Register!$J$11:$J$510,0))),INDEX(Register!$D$11:$D$510,MATCH($H298,Register!$J$11:$J$510,0)),INDEX(Register!$D$11:$D$510,MATCH($H298,Register!$J$11:$J$510,0))&amp;""))</f>
        <v/>
      </c>
      <c r="E298" s="25" t="str">
        <f aca="false">IF($H298="","",IF(ISNUMBER(INDEX(Register!$E$11:$E$510,MATCH($H298,Register!$J$11:$J$510,0))),INDEX(Register!$E$11:$E$510,MATCH($H298,Register!$J$11:$J$510,0))&amp;" mo",INDEX(Register!$E$11:$E$510,MATCH($H298,Register!$J$11:$J$510,0))&amp;""))</f>
        <v/>
      </c>
      <c r="F298" s="26" t="str">
        <f aca="false">IF($H298="","",INDEX(Register!$F$11:$F$510,MATCH($H298,Register!$J$11:$J$510,0)))</f>
        <v/>
      </c>
      <c r="G298" s="27" t="str">
        <f aca="false">IF($H298="","",IF(INDEX(Register!$G$11:$G$510,MATCH($H298,Register!$J$11:$J$510,0))="Check details","Check details: "&amp;INDEX(Register!$I$11:$I$510,MATCH($H298,Register!$J$11:$J$510,0)),INDEX(Register!$G$11:$G$510,MATCH($H298,Register!$J$11:$J$510,0))))</f>
        <v/>
      </c>
      <c r="H298" s="28" t="str">
        <f aca="false">IF(292&gt;COUNT(Register!$J$11:$J$510),"",SMALL(Register!$J$11:$J$510,292))</f>
        <v/>
      </c>
    </row>
    <row r="299" customFormat="false" ht="15" hidden="false" customHeight="false" outlineLevel="0" collapsed="false">
      <c r="A299" s="25" t="str">
        <f aca="false">IF($H299="","",INDEX(Register!$A$11:$A$510,MATCH($H299,Register!$J$11:$J$510,0))&amp;"")</f>
        <v/>
      </c>
      <c r="B299" s="25" t="str">
        <f aca="false">IF($H299="","",INDEX(Register!$B$11:$B$510,MATCH($H299,Register!$J$11:$J$510,0))&amp;"")</f>
        <v/>
      </c>
      <c r="C299" s="25" t="str">
        <f aca="false">IF($H299="","",INDEX(Register!$C$11:$C$510,MATCH($H299,Register!$J$11:$J$510,0))&amp;"")</f>
        <v/>
      </c>
      <c r="D299" s="26" t="str">
        <f aca="false">IF($H299="","",IF(ISNUMBER(INDEX(Register!$D$11:$D$510,MATCH($H299,Register!$J$11:$J$510,0))),INDEX(Register!$D$11:$D$510,MATCH($H299,Register!$J$11:$J$510,0)),INDEX(Register!$D$11:$D$510,MATCH($H299,Register!$J$11:$J$510,0))&amp;""))</f>
        <v/>
      </c>
      <c r="E299" s="25" t="str">
        <f aca="false">IF($H299="","",IF(ISNUMBER(INDEX(Register!$E$11:$E$510,MATCH($H299,Register!$J$11:$J$510,0))),INDEX(Register!$E$11:$E$510,MATCH($H299,Register!$J$11:$J$510,0))&amp;" mo",INDEX(Register!$E$11:$E$510,MATCH($H299,Register!$J$11:$J$510,0))&amp;""))</f>
        <v/>
      </c>
      <c r="F299" s="26" t="str">
        <f aca="false">IF($H299="","",INDEX(Register!$F$11:$F$510,MATCH($H299,Register!$J$11:$J$510,0)))</f>
        <v/>
      </c>
      <c r="G299" s="27" t="str">
        <f aca="false">IF($H299="","",IF(INDEX(Register!$G$11:$G$510,MATCH($H299,Register!$J$11:$J$510,0))="Check details","Check details: "&amp;INDEX(Register!$I$11:$I$510,MATCH($H299,Register!$J$11:$J$510,0)),INDEX(Register!$G$11:$G$510,MATCH($H299,Register!$J$11:$J$510,0))))</f>
        <v/>
      </c>
      <c r="H299" s="28" t="str">
        <f aca="false">IF(293&gt;COUNT(Register!$J$11:$J$510),"",SMALL(Register!$J$11:$J$510,293))</f>
        <v/>
      </c>
    </row>
    <row r="300" customFormat="false" ht="15" hidden="false" customHeight="false" outlineLevel="0" collapsed="false">
      <c r="A300" s="25" t="str">
        <f aca="false">IF($H300="","",INDEX(Register!$A$11:$A$510,MATCH($H300,Register!$J$11:$J$510,0))&amp;"")</f>
        <v/>
      </c>
      <c r="B300" s="25" t="str">
        <f aca="false">IF($H300="","",INDEX(Register!$B$11:$B$510,MATCH($H300,Register!$J$11:$J$510,0))&amp;"")</f>
        <v/>
      </c>
      <c r="C300" s="25" t="str">
        <f aca="false">IF($H300="","",INDEX(Register!$C$11:$C$510,MATCH($H300,Register!$J$11:$J$510,0))&amp;"")</f>
        <v/>
      </c>
      <c r="D300" s="26" t="str">
        <f aca="false">IF($H300="","",IF(ISNUMBER(INDEX(Register!$D$11:$D$510,MATCH($H300,Register!$J$11:$J$510,0))),INDEX(Register!$D$11:$D$510,MATCH($H300,Register!$J$11:$J$510,0)),INDEX(Register!$D$11:$D$510,MATCH($H300,Register!$J$11:$J$510,0))&amp;""))</f>
        <v/>
      </c>
      <c r="E300" s="25" t="str">
        <f aca="false">IF($H300="","",IF(ISNUMBER(INDEX(Register!$E$11:$E$510,MATCH($H300,Register!$J$11:$J$510,0))),INDEX(Register!$E$11:$E$510,MATCH($H300,Register!$J$11:$J$510,0))&amp;" mo",INDEX(Register!$E$11:$E$510,MATCH($H300,Register!$J$11:$J$510,0))&amp;""))</f>
        <v/>
      </c>
      <c r="F300" s="26" t="str">
        <f aca="false">IF($H300="","",INDEX(Register!$F$11:$F$510,MATCH($H300,Register!$J$11:$J$510,0)))</f>
        <v/>
      </c>
      <c r="G300" s="27" t="str">
        <f aca="false">IF($H300="","",IF(INDEX(Register!$G$11:$G$510,MATCH($H300,Register!$J$11:$J$510,0))="Check details","Check details: "&amp;INDEX(Register!$I$11:$I$510,MATCH($H300,Register!$J$11:$J$510,0)),INDEX(Register!$G$11:$G$510,MATCH($H300,Register!$J$11:$J$510,0))))</f>
        <v/>
      </c>
      <c r="H300" s="28" t="str">
        <f aca="false">IF(294&gt;COUNT(Register!$J$11:$J$510),"",SMALL(Register!$J$11:$J$510,294))</f>
        <v/>
      </c>
    </row>
    <row r="301" customFormat="false" ht="15" hidden="false" customHeight="false" outlineLevel="0" collapsed="false">
      <c r="A301" s="25" t="str">
        <f aca="false">IF($H301="","",INDEX(Register!$A$11:$A$510,MATCH($H301,Register!$J$11:$J$510,0))&amp;"")</f>
        <v/>
      </c>
      <c r="B301" s="25" t="str">
        <f aca="false">IF($H301="","",INDEX(Register!$B$11:$B$510,MATCH($H301,Register!$J$11:$J$510,0))&amp;"")</f>
        <v/>
      </c>
      <c r="C301" s="25" t="str">
        <f aca="false">IF($H301="","",INDEX(Register!$C$11:$C$510,MATCH($H301,Register!$J$11:$J$510,0))&amp;"")</f>
        <v/>
      </c>
      <c r="D301" s="26" t="str">
        <f aca="false">IF($H301="","",IF(ISNUMBER(INDEX(Register!$D$11:$D$510,MATCH($H301,Register!$J$11:$J$510,0))),INDEX(Register!$D$11:$D$510,MATCH($H301,Register!$J$11:$J$510,0)),INDEX(Register!$D$11:$D$510,MATCH($H301,Register!$J$11:$J$510,0))&amp;""))</f>
        <v/>
      </c>
      <c r="E301" s="25" t="str">
        <f aca="false">IF($H301="","",IF(ISNUMBER(INDEX(Register!$E$11:$E$510,MATCH($H301,Register!$J$11:$J$510,0))),INDEX(Register!$E$11:$E$510,MATCH($H301,Register!$J$11:$J$510,0))&amp;" mo",INDEX(Register!$E$11:$E$510,MATCH($H301,Register!$J$11:$J$510,0))&amp;""))</f>
        <v/>
      </c>
      <c r="F301" s="26" t="str">
        <f aca="false">IF($H301="","",INDEX(Register!$F$11:$F$510,MATCH($H301,Register!$J$11:$J$510,0)))</f>
        <v/>
      </c>
      <c r="G301" s="27" t="str">
        <f aca="false">IF($H301="","",IF(INDEX(Register!$G$11:$G$510,MATCH($H301,Register!$J$11:$J$510,0))="Check details","Check details: "&amp;INDEX(Register!$I$11:$I$510,MATCH($H301,Register!$J$11:$J$510,0)),INDEX(Register!$G$11:$G$510,MATCH($H301,Register!$J$11:$J$510,0))))</f>
        <v/>
      </c>
      <c r="H301" s="28" t="str">
        <f aca="false">IF(295&gt;COUNT(Register!$J$11:$J$510),"",SMALL(Register!$J$11:$J$510,295))</f>
        <v/>
      </c>
    </row>
    <row r="302" customFormat="false" ht="15" hidden="false" customHeight="false" outlineLevel="0" collapsed="false">
      <c r="A302" s="25" t="str">
        <f aca="false">IF($H302="","",INDEX(Register!$A$11:$A$510,MATCH($H302,Register!$J$11:$J$510,0))&amp;"")</f>
        <v/>
      </c>
      <c r="B302" s="25" t="str">
        <f aca="false">IF($H302="","",INDEX(Register!$B$11:$B$510,MATCH($H302,Register!$J$11:$J$510,0))&amp;"")</f>
        <v/>
      </c>
      <c r="C302" s="25" t="str">
        <f aca="false">IF($H302="","",INDEX(Register!$C$11:$C$510,MATCH($H302,Register!$J$11:$J$510,0))&amp;"")</f>
        <v/>
      </c>
      <c r="D302" s="26" t="str">
        <f aca="false">IF($H302="","",IF(ISNUMBER(INDEX(Register!$D$11:$D$510,MATCH($H302,Register!$J$11:$J$510,0))),INDEX(Register!$D$11:$D$510,MATCH($H302,Register!$J$11:$J$510,0)),INDEX(Register!$D$11:$D$510,MATCH($H302,Register!$J$11:$J$510,0))&amp;""))</f>
        <v/>
      </c>
      <c r="E302" s="25" t="str">
        <f aca="false">IF($H302="","",IF(ISNUMBER(INDEX(Register!$E$11:$E$510,MATCH($H302,Register!$J$11:$J$510,0))),INDEX(Register!$E$11:$E$510,MATCH($H302,Register!$J$11:$J$510,0))&amp;" mo",INDEX(Register!$E$11:$E$510,MATCH($H302,Register!$J$11:$J$510,0))&amp;""))</f>
        <v/>
      </c>
      <c r="F302" s="26" t="str">
        <f aca="false">IF($H302="","",INDEX(Register!$F$11:$F$510,MATCH($H302,Register!$J$11:$J$510,0)))</f>
        <v/>
      </c>
      <c r="G302" s="27" t="str">
        <f aca="false">IF($H302="","",IF(INDEX(Register!$G$11:$G$510,MATCH($H302,Register!$J$11:$J$510,0))="Check details","Check details: "&amp;INDEX(Register!$I$11:$I$510,MATCH($H302,Register!$J$11:$J$510,0)),INDEX(Register!$G$11:$G$510,MATCH($H302,Register!$J$11:$J$510,0))))</f>
        <v/>
      </c>
      <c r="H302" s="28" t="str">
        <f aca="false">IF(296&gt;COUNT(Register!$J$11:$J$510),"",SMALL(Register!$J$11:$J$510,296))</f>
        <v/>
      </c>
    </row>
    <row r="303" customFormat="false" ht="15" hidden="false" customHeight="false" outlineLevel="0" collapsed="false">
      <c r="A303" s="25" t="str">
        <f aca="false">IF($H303="","",INDEX(Register!$A$11:$A$510,MATCH($H303,Register!$J$11:$J$510,0))&amp;"")</f>
        <v/>
      </c>
      <c r="B303" s="25" t="str">
        <f aca="false">IF($H303="","",INDEX(Register!$B$11:$B$510,MATCH($H303,Register!$J$11:$J$510,0))&amp;"")</f>
        <v/>
      </c>
      <c r="C303" s="25" t="str">
        <f aca="false">IF($H303="","",INDEX(Register!$C$11:$C$510,MATCH($H303,Register!$J$11:$J$510,0))&amp;"")</f>
        <v/>
      </c>
      <c r="D303" s="26" t="str">
        <f aca="false">IF($H303="","",IF(ISNUMBER(INDEX(Register!$D$11:$D$510,MATCH($H303,Register!$J$11:$J$510,0))),INDEX(Register!$D$11:$D$510,MATCH($H303,Register!$J$11:$J$510,0)),INDEX(Register!$D$11:$D$510,MATCH($H303,Register!$J$11:$J$510,0))&amp;""))</f>
        <v/>
      </c>
      <c r="E303" s="25" t="str">
        <f aca="false">IF($H303="","",IF(ISNUMBER(INDEX(Register!$E$11:$E$510,MATCH($H303,Register!$J$11:$J$510,0))),INDEX(Register!$E$11:$E$510,MATCH($H303,Register!$J$11:$J$510,0))&amp;" mo",INDEX(Register!$E$11:$E$510,MATCH($H303,Register!$J$11:$J$510,0))&amp;""))</f>
        <v/>
      </c>
      <c r="F303" s="26" t="str">
        <f aca="false">IF($H303="","",INDEX(Register!$F$11:$F$510,MATCH($H303,Register!$J$11:$J$510,0)))</f>
        <v/>
      </c>
      <c r="G303" s="27" t="str">
        <f aca="false">IF($H303="","",IF(INDEX(Register!$G$11:$G$510,MATCH($H303,Register!$J$11:$J$510,0))="Check details","Check details: "&amp;INDEX(Register!$I$11:$I$510,MATCH($H303,Register!$J$11:$J$510,0)),INDEX(Register!$G$11:$G$510,MATCH($H303,Register!$J$11:$J$510,0))))</f>
        <v/>
      </c>
      <c r="H303" s="28" t="str">
        <f aca="false">IF(297&gt;COUNT(Register!$J$11:$J$510),"",SMALL(Register!$J$11:$J$510,297))</f>
        <v/>
      </c>
    </row>
    <row r="304" customFormat="false" ht="15" hidden="false" customHeight="false" outlineLevel="0" collapsed="false">
      <c r="A304" s="25" t="str">
        <f aca="false">IF($H304="","",INDEX(Register!$A$11:$A$510,MATCH($H304,Register!$J$11:$J$510,0))&amp;"")</f>
        <v/>
      </c>
      <c r="B304" s="25" t="str">
        <f aca="false">IF($H304="","",INDEX(Register!$B$11:$B$510,MATCH($H304,Register!$J$11:$J$510,0))&amp;"")</f>
        <v/>
      </c>
      <c r="C304" s="25" t="str">
        <f aca="false">IF($H304="","",INDEX(Register!$C$11:$C$510,MATCH($H304,Register!$J$11:$J$510,0))&amp;"")</f>
        <v/>
      </c>
      <c r="D304" s="26" t="str">
        <f aca="false">IF($H304="","",IF(ISNUMBER(INDEX(Register!$D$11:$D$510,MATCH($H304,Register!$J$11:$J$510,0))),INDEX(Register!$D$11:$D$510,MATCH($H304,Register!$J$11:$J$510,0)),INDEX(Register!$D$11:$D$510,MATCH($H304,Register!$J$11:$J$510,0))&amp;""))</f>
        <v/>
      </c>
      <c r="E304" s="25" t="str">
        <f aca="false">IF($H304="","",IF(ISNUMBER(INDEX(Register!$E$11:$E$510,MATCH($H304,Register!$J$11:$J$510,0))),INDEX(Register!$E$11:$E$510,MATCH($H304,Register!$J$11:$J$510,0))&amp;" mo",INDEX(Register!$E$11:$E$510,MATCH($H304,Register!$J$11:$J$510,0))&amp;""))</f>
        <v/>
      </c>
      <c r="F304" s="26" t="str">
        <f aca="false">IF($H304="","",INDEX(Register!$F$11:$F$510,MATCH($H304,Register!$J$11:$J$510,0)))</f>
        <v/>
      </c>
      <c r="G304" s="27" t="str">
        <f aca="false">IF($H304="","",IF(INDEX(Register!$G$11:$G$510,MATCH($H304,Register!$J$11:$J$510,0))="Check details","Check details: "&amp;INDEX(Register!$I$11:$I$510,MATCH($H304,Register!$J$11:$J$510,0)),INDEX(Register!$G$11:$G$510,MATCH($H304,Register!$J$11:$J$510,0))))</f>
        <v/>
      </c>
      <c r="H304" s="28" t="str">
        <f aca="false">IF(298&gt;COUNT(Register!$J$11:$J$510),"",SMALL(Register!$J$11:$J$510,298))</f>
        <v/>
      </c>
    </row>
    <row r="305" customFormat="false" ht="15" hidden="false" customHeight="false" outlineLevel="0" collapsed="false">
      <c r="A305" s="25" t="str">
        <f aca="false">IF($H305="","",INDEX(Register!$A$11:$A$510,MATCH($H305,Register!$J$11:$J$510,0))&amp;"")</f>
        <v/>
      </c>
      <c r="B305" s="25" t="str">
        <f aca="false">IF($H305="","",INDEX(Register!$B$11:$B$510,MATCH($H305,Register!$J$11:$J$510,0))&amp;"")</f>
        <v/>
      </c>
      <c r="C305" s="25" t="str">
        <f aca="false">IF($H305="","",INDEX(Register!$C$11:$C$510,MATCH($H305,Register!$J$11:$J$510,0))&amp;"")</f>
        <v/>
      </c>
      <c r="D305" s="26" t="str">
        <f aca="false">IF($H305="","",IF(ISNUMBER(INDEX(Register!$D$11:$D$510,MATCH($H305,Register!$J$11:$J$510,0))),INDEX(Register!$D$11:$D$510,MATCH($H305,Register!$J$11:$J$510,0)),INDEX(Register!$D$11:$D$510,MATCH($H305,Register!$J$11:$J$510,0))&amp;""))</f>
        <v/>
      </c>
      <c r="E305" s="25" t="str">
        <f aca="false">IF($H305="","",IF(ISNUMBER(INDEX(Register!$E$11:$E$510,MATCH($H305,Register!$J$11:$J$510,0))),INDEX(Register!$E$11:$E$510,MATCH($H305,Register!$J$11:$J$510,0))&amp;" mo",INDEX(Register!$E$11:$E$510,MATCH($H305,Register!$J$11:$J$510,0))&amp;""))</f>
        <v/>
      </c>
      <c r="F305" s="26" t="str">
        <f aca="false">IF($H305="","",INDEX(Register!$F$11:$F$510,MATCH($H305,Register!$J$11:$J$510,0)))</f>
        <v/>
      </c>
      <c r="G305" s="27" t="str">
        <f aca="false">IF($H305="","",IF(INDEX(Register!$G$11:$G$510,MATCH($H305,Register!$J$11:$J$510,0))="Check details","Check details: "&amp;INDEX(Register!$I$11:$I$510,MATCH($H305,Register!$J$11:$J$510,0)),INDEX(Register!$G$11:$G$510,MATCH($H305,Register!$J$11:$J$510,0))))</f>
        <v/>
      </c>
      <c r="H305" s="28" t="str">
        <f aca="false">IF(299&gt;COUNT(Register!$J$11:$J$510),"",SMALL(Register!$J$11:$J$510,299))</f>
        <v/>
      </c>
    </row>
    <row r="306" customFormat="false" ht="15" hidden="false" customHeight="false" outlineLevel="0" collapsed="false">
      <c r="A306" s="25" t="str">
        <f aca="false">IF($H306="","",INDEX(Register!$A$11:$A$510,MATCH($H306,Register!$J$11:$J$510,0))&amp;"")</f>
        <v/>
      </c>
      <c r="B306" s="25" t="str">
        <f aca="false">IF($H306="","",INDEX(Register!$B$11:$B$510,MATCH($H306,Register!$J$11:$J$510,0))&amp;"")</f>
        <v/>
      </c>
      <c r="C306" s="25" t="str">
        <f aca="false">IF($H306="","",INDEX(Register!$C$11:$C$510,MATCH($H306,Register!$J$11:$J$510,0))&amp;"")</f>
        <v/>
      </c>
      <c r="D306" s="26" t="str">
        <f aca="false">IF($H306="","",IF(ISNUMBER(INDEX(Register!$D$11:$D$510,MATCH($H306,Register!$J$11:$J$510,0))),INDEX(Register!$D$11:$D$510,MATCH($H306,Register!$J$11:$J$510,0)),INDEX(Register!$D$11:$D$510,MATCH($H306,Register!$J$11:$J$510,0))&amp;""))</f>
        <v/>
      </c>
      <c r="E306" s="25" t="str">
        <f aca="false">IF($H306="","",IF(ISNUMBER(INDEX(Register!$E$11:$E$510,MATCH($H306,Register!$J$11:$J$510,0))),INDEX(Register!$E$11:$E$510,MATCH($H306,Register!$J$11:$J$510,0))&amp;" mo",INDEX(Register!$E$11:$E$510,MATCH($H306,Register!$J$11:$J$510,0))&amp;""))</f>
        <v/>
      </c>
      <c r="F306" s="26" t="str">
        <f aca="false">IF($H306="","",INDEX(Register!$F$11:$F$510,MATCH($H306,Register!$J$11:$J$510,0)))</f>
        <v/>
      </c>
      <c r="G306" s="27" t="str">
        <f aca="false">IF($H306="","",IF(INDEX(Register!$G$11:$G$510,MATCH($H306,Register!$J$11:$J$510,0))="Check details","Check details: "&amp;INDEX(Register!$I$11:$I$510,MATCH($H306,Register!$J$11:$J$510,0)),INDEX(Register!$G$11:$G$510,MATCH($H306,Register!$J$11:$J$510,0))))</f>
        <v/>
      </c>
      <c r="H306" s="28" t="str">
        <f aca="false">IF(300&gt;COUNT(Register!$J$11:$J$510),"",SMALL(Register!$J$11:$J$510,300))</f>
        <v/>
      </c>
    </row>
    <row r="307" customFormat="false" ht="15" hidden="false" customHeight="false" outlineLevel="0" collapsed="false">
      <c r="A307" s="25" t="str">
        <f aca="false">IF($H307="","",INDEX(Register!$A$11:$A$510,MATCH($H307,Register!$J$11:$J$510,0))&amp;"")</f>
        <v/>
      </c>
      <c r="B307" s="25" t="str">
        <f aca="false">IF($H307="","",INDEX(Register!$B$11:$B$510,MATCH($H307,Register!$J$11:$J$510,0))&amp;"")</f>
        <v/>
      </c>
      <c r="C307" s="25" t="str">
        <f aca="false">IF($H307="","",INDEX(Register!$C$11:$C$510,MATCH($H307,Register!$J$11:$J$510,0))&amp;"")</f>
        <v/>
      </c>
      <c r="D307" s="26" t="str">
        <f aca="false">IF($H307="","",IF(ISNUMBER(INDEX(Register!$D$11:$D$510,MATCH($H307,Register!$J$11:$J$510,0))),INDEX(Register!$D$11:$D$510,MATCH($H307,Register!$J$11:$J$510,0)),INDEX(Register!$D$11:$D$510,MATCH($H307,Register!$J$11:$J$510,0))&amp;""))</f>
        <v/>
      </c>
      <c r="E307" s="25" t="str">
        <f aca="false">IF($H307="","",IF(ISNUMBER(INDEX(Register!$E$11:$E$510,MATCH($H307,Register!$J$11:$J$510,0))),INDEX(Register!$E$11:$E$510,MATCH($H307,Register!$J$11:$J$510,0))&amp;" mo",INDEX(Register!$E$11:$E$510,MATCH($H307,Register!$J$11:$J$510,0))&amp;""))</f>
        <v/>
      </c>
      <c r="F307" s="26" t="str">
        <f aca="false">IF($H307="","",INDEX(Register!$F$11:$F$510,MATCH($H307,Register!$J$11:$J$510,0)))</f>
        <v/>
      </c>
      <c r="G307" s="27" t="str">
        <f aca="false">IF($H307="","",IF(INDEX(Register!$G$11:$G$510,MATCH($H307,Register!$J$11:$J$510,0))="Check details","Check details: "&amp;INDEX(Register!$I$11:$I$510,MATCH($H307,Register!$J$11:$J$510,0)),INDEX(Register!$G$11:$G$510,MATCH($H307,Register!$J$11:$J$510,0))))</f>
        <v/>
      </c>
      <c r="H307" s="28" t="str">
        <f aca="false">IF(301&gt;COUNT(Register!$J$11:$J$510),"",SMALL(Register!$J$11:$J$510,301))</f>
        <v/>
      </c>
    </row>
    <row r="308" customFormat="false" ht="15" hidden="false" customHeight="false" outlineLevel="0" collapsed="false">
      <c r="A308" s="25" t="str">
        <f aca="false">IF($H308="","",INDEX(Register!$A$11:$A$510,MATCH($H308,Register!$J$11:$J$510,0))&amp;"")</f>
        <v/>
      </c>
      <c r="B308" s="25" t="str">
        <f aca="false">IF($H308="","",INDEX(Register!$B$11:$B$510,MATCH($H308,Register!$J$11:$J$510,0))&amp;"")</f>
        <v/>
      </c>
      <c r="C308" s="25" t="str">
        <f aca="false">IF($H308="","",INDEX(Register!$C$11:$C$510,MATCH($H308,Register!$J$11:$J$510,0))&amp;"")</f>
        <v/>
      </c>
      <c r="D308" s="26" t="str">
        <f aca="false">IF($H308="","",IF(ISNUMBER(INDEX(Register!$D$11:$D$510,MATCH($H308,Register!$J$11:$J$510,0))),INDEX(Register!$D$11:$D$510,MATCH($H308,Register!$J$11:$J$510,0)),INDEX(Register!$D$11:$D$510,MATCH($H308,Register!$J$11:$J$510,0))&amp;""))</f>
        <v/>
      </c>
      <c r="E308" s="25" t="str">
        <f aca="false">IF($H308="","",IF(ISNUMBER(INDEX(Register!$E$11:$E$510,MATCH($H308,Register!$J$11:$J$510,0))),INDEX(Register!$E$11:$E$510,MATCH($H308,Register!$J$11:$J$510,0))&amp;" mo",INDEX(Register!$E$11:$E$510,MATCH($H308,Register!$J$11:$J$510,0))&amp;""))</f>
        <v/>
      </c>
      <c r="F308" s="26" t="str">
        <f aca="false">IF($H308="","",INDEX(Register!$F$11:$F$510,MATCH($H308,Register!$J$11:$J$510,0)))</f>
        <v/>
      </c>
      <c r="G308" s="27" t="str">
        <f aca="false">IF($H308="","",IF(INDEX(Register!$G$11:$G$510,MATCH($H308,Register!$J$11:$J$510,0))="Check details","Check details: "&amp;INDEX(Register!$I$11:$I$510,MATCH($H308,Register!$J$11:$J$510,0)),INDEX(Register!$G$11:$G$510,MATCH($H308,Register!$J$11:$J$510,0))))</f>
        <v/>
      </c>
      <c r="H308" s="28" t="str">
        <f aca="false">IF(302&gt;COUNT(Register!$J$11:$J$510),"",SMALL(Register!$J$11:$J$510,302))</f>
        <v/>
      </c>
    </row>
    <row r="309" customFormat="false" ht="15" hidden="false" customHeight="false" outlineLevel="0" collapsed="false">
      <c r="A309" s="25" t="str">
        <f aca="false">IF($H309="","",INDEX(Register!$A$11:$A$510,MATCH($H309,Register!$J$11:$J$510,0))&amp;"")</f>
        <v/>
      </c>
      <c r="B309" s="25" t="str">
        <f aca="false">IF($H309="","",INDEX(Register!$B$11:$B$510,MATCH($H309,Register!$J$11:$J$510,0))&amp;"")</f>
        <v/>
      </c>
      <c r="C309" s="25" t="str">
        <f aca="false">IF($H309="","",INDEX(Register!$C$11:$C$510,MATCH($H309,Register!$J$11:$J$510,0))&amp;"")</f>
        <v/>
      </c>
      <c r="D309" s="26" t="str">
        <f aca="false">IF($H309="","",IF(ISNUMBER(INDEX(Register!$D$11:$D$510,MATCH($H309,Register!$J$11:$J$510,0))),INDEX(Register!$D$11:$D$510,MATCH($H309,Register!$J$11:$J$510,0)),INDEX(Register!$D$11:$D$510,MATCH($H309,Register!$J$11:$J$510,0))&amp;""))</f>
        <v/>
      </c>
      <c r="E309" s="25" t="str">
        <f aca="false">IF($H309="","",IF(ISNUMBER(INDEX(Register!$E$11:$E$510,MATCH($H309,Register!$J$11:$J$510,0))),INDEX(Register!$E$11:$E$510,MATCH($H309,Register!$J$11:$J$510,0))&amp;" mo",INDEX(Register!$E$11:$E$510,MATCH($H309,Register!$J$11:$J$510,0))&amp;""))</f>
        <v/>
      </c>
      <c r="F309" s="26" t="str">
        <f aca="false">IF($H309="","",INDEX(Register!$F$11:$F$510,MATCH($H309,Register!$J$11:$J$510,0)))</f>
        <v/>
      </c>
      <c r="G309" s="27" t="str">
        <f aca="false">IF($H309="","",IF(INDEX(Register!$G$11:$G$510,MATCH($H309,Register!$J$11:$J$510,0))="Check details","Check details: "&amp;INDEX(Register!$I$11:$I$510,MATCH($H309,Register!$J$11:$J$510,0)),INDEX(Register!$G$11:$G$510,MATCH($H309,Register!$J$11:$J$510,0))))</f>
        <v/>
      </c>
      <c r="H309" s="28" t="str">
        <f aca="false">IF(303&gt;COUNT(Register!$J$11:$J$510),"",SMALL(Register!$J$11:$J$510,303))</f>
        <v/>
      </c>
    </row>
    <row r="310" customFormat="false" ht="15" hidden="false" customHeight="false" outlineLevel="0" collapsed="false">
      <c r="A310" s="25" t="str">
        <f aca="false">IF($H310="","",INDEX(Register!$A$11:$A$510,MATCH($H310,Register!$J$11:$J$510,0))&amp;"")</f>
        <v/>
      </c>
      <c r="B310" s="25" t="str">
        <f aca="false">IF($H310="","",INDEX(Register!$B$11:$B$510,MATCH($H310,Register!$J$11:$J$510,0))&amp;"")</f>
        <v/>
      </c>
      <c r="C310" s="25" t="str">
        <f aca="false">IF($H310="","",INDEX(Register!$C$11:$C$510,MATCH($H310,Register!$J$11:$J$510,0))&amp;"")</f>
        <v/>
      </c>
      <c r="D310" s="26" t="str">
        <f aca="false">IF($H310="","",IF(ISNUMBER(INDEX(Register!$D$11:$D$510,MATCH($H310,Register!$J$11:$J$510,0))),INDEX(Register!$D$11:$D$510,MATCH($H310,Register!$J$11:$J$510,0)),INDEX(Register!$D$11:$D$510,MATCH($H310,Register!$J$11:$J$510,0))&amp;""))</f>
        <v/>
      </c>
      <c r="E310" s="25" t="str">
        <f aca="false">IF($H310="","",IF(ISNUMBER(INDEX(Register!$E$11:$E$510,MATCH($H310,Register!$J$11:$J$510,0))),INDEX(Register!$E$11:$E$510,MATCH($H310,Register!$J$11:$J$510,0))&amp;" mo",INDEX(Register!$E$11:$E$510,MATCH($H310,Register!$J$11:$J$510,0))&amp;""))</f>
        <v/>
      </c>
      <c r="F310" s="26" t="str">
        <f aca="false">IF($H310="","",INDEX(Register!$F$11:$F$510,MATCH($H310,Register!$J$11:$J$510,0)))</f>
        <v/>
      </c>
      <c r="G310" s="27" t="str">
        <f aca="false">IF($H310="","",IF(INDEX(Register!$G$11:$G$510,MATCH($H310,Register!$J$11:$J$510,0))="Check details","Check details: "&amp;INDEX(Register!$I$11:$I$510,MATCH($H310,Register!$J$11:$J$510,0)),INDEX(Register!$G$11:$G$510,MATCH($H310,Register!$J$11:$J$510,0))))</f>
        <v/>
      </c>
      <c r="H310" s="28" t="str">
        <f aca="false">IF(304&gt;COUNT(Register!$J$11:$J$510),"",SMALL(Register!$J$11:$J$510,304))</f>
        <v/>
      </c>
    </row>
    <row r="311" customFormat="false" ht="15" hidden="false" customHeight="false" outlineLevel="0" collapsed="false">
      <c r="A311" s="25" t="str">
        <f aca="false">IF($H311="","",INDEX(Register!$A$11:$A$510,MATCH($H311,Register!$J$11:$J$510,0))&amp;"")</f>
        <v/>
      </c>
      <c r="B311" s="25" t="str">
        <f aca="false">IF($H311="","",INDEX(Register!$B$11:$B$510,MATCH($H311,Register!$J$11:$J$510,0))&amp;"")</f>
        <v/>
      </c>
      <c r="C311" s="25" t="str">
        <f aca="false">IF($H311="","",INDEX(Register!$C$11:$C$510,MATCH($H311,Register!$J$11:$J$510,0))&amp;"")</f>
        <v/>
      </c>
      <c r="D311" s="26" t="str">
        <f aca="false">IF($H311="","",IF(ISNUMBER(INDEX(Register!$D$11:$D$510,MATCH($H311,Register!$J$11:$J$510,0))),INDEX(Register!$D$11:$D$510,MATCH($H311,Register!$J$11:$J$510,0)),INDEX(Register!$D$11:$D$510,MATCH($H311,Register!$J$11:$J$510,0))&amp;""))</f>
        <v/>
      </c>
      <c r="E311" s="25" t="str">
        <f aca="false">IF($H311="","",IF(ISNUMBER(INDEX(Register!$E$11:$E$510,MATCH($H311,Register!$J$11:$J$510,0))),INDEX(Register!$E$11:$E$510,MATCH($H311,Register!$J$11:$J$510,0))&amp;" mo",INDEX(Register!$E$11:$E$510,MATCH($H311,Register!$J$11:$J$510,0))&amp;""))</f>
        <v/>
      </c>
      <c r="F311" s="26" t="str">
        <f aca="false">IF($H311="","",INDEX(Register!$F$11:$F$510,MATCH($H311,Register!$J$11:$J$510,0)))</f>
        <v/>
      </c>
      <c r="G311" s="27" t="str">
        <f aca="false">IF($H311="","",IF(INDEX(Register!$G$11:$G$510,MATCH($H311,Register!$J$11:$J$510,0))="Check details","Check details: "&amp;INDEX(Register!$I$11:$I$510,MATCH($H311,Register!$J$11:$J$510,0)),INDEX(Register!$G$11:$G$510,MATCH($H311,Register!$J$11:$J$510,0))))</f>
        <v/>
      </c>
      <c r="H311" s="28" t="str">
        <f aca="false">IF(305&gt;COUNT(Register!$J$11:$J$510),"",SMALL(Register!$J$11:$J$510,305))</f>
        <v/>
      </c>
    </row>
    <row r="312" customFormat="false" ht="15" hidden="false" customHeight="false" outlineLevel="0" collapsed="false">
      <c r="A312" s="25" t="str">
        <f aca="false">IF($H312="","",INDEX(Register!$A$11:$A$510,MATCH($H312,Register!$J$11:$J$510,0))&amp;"")</f>
        <v/>
      </c>
      <c r="B312" s="25" t="str">
        <f aca="false">IF($H312="","",INDEX(Register!$B$11:$B$510,MATCH($H312,Register!$J$11:$J$510,0))&amp;"")</f>
        <v/>
      </c>
      <c r="C312" s="25" t="str">
        <f aca="false">IF($H312="","",INDEX(Register!$C$11:$C$510,MATCH($H312,Register!$J$11:$J$510,0))&amp;"")</f>
        <v/>
      </c>
      <c r="D312" s="26" t="str">
        <f aca="false">IF($H312="","",IF(ISNUMBER(INDEX(Register!$D$11:$D$510,MATCH($H312,Register!$J$11:$J$510,0))),INDEX(Register!$D$11:$D$510,MATCH($H312,Register!$J$11:$J$510,0)),INDEX(Register!$D$11:$D$510,MATCH($H312,Register!$J$11:$J$510,0))&amp;""))</f>
        <v/>
      </c>
      <c r="E312" s="25" t="str">
        <f aca="false">IF($H312="","",IF(ISNUMBER(INDEX(Register!$E$11:$E$510,MATCH($H312,Register!$J$11:$J$510,0))),INDEX(Register!$E$11:$E$510,MATCH($H312,Register!$J$11:$J$510,0))&amp;" mo",INDEX(Register!$E$11:$E$510,MATCH($H312,Register!$J$11:$J$510,0))&amp;""))</f>
        <v/>
      </c>
      <c r="F312" s="26" t="str">
        <f aca="false">IF($H312="","",INDEX(Register!$F$11:$F$510,MATCH($H312,Register!$J$11:$J$510,0)))</f>
        <v/>
      </c>
      <c r="G312" s="27" t="str">
        <f aca="false">IF($H312="","",IF(INDEX(Register!$G$11:$G$510,MATCH($H312,Register!$J$11:$J$510,0))="Check details","Check details: "&amp;INDEX(Register!$I$11:$I$510,MATCH($H312,Register!$J$11:$J$510,0)),INDEX(Register!$G$11:$G$510,MATCH($H312,Register!$J$11:$J$510,0))))</f>
        <v/>
      </c>
      <c r="H312" s="28" t="str">
        <f aca="false">IF(306&gt;COUNT(Register!$J$11:$J$510),"",SMALL(Register!$J$11:$J$510,306))</f>
        <v/>
      </c>
    </row>
    <row r="313" customFormat="false" ht="15" hidden="false" customHeight="false" outlineLevel="0" collapsed="false">
      <c r="A313" s="25" t="str">
        <f aca="false">IF($H313="","",INDEX(Register!$A$11:$A$510,MATCH($H313,Register!$J$11:$J$510,0))&amp;"")</f>
        <v/>
      </c>
      <c r="B313" s="25" t="str">
        <f aca="false">IF($H313="","",INDEX(Register!$B$11:$B$510,MATCH($H313,Register!$J$11:$J$510,0))&amp;"")</f>
        <v/>
      </c>
      <c r="C313" s="25" t="str">
        <f aca="false">IF($H313="","",INDEX(Register!$C$11:$C$510,MATCH($H313,Register!$J$11:$J$510,0))&amp;"")</f>
        <v/>
      </c>
      <c r="D313" s="26" t="str">
        <f aca="false">IF($H313="","",IF(ISNUMBER(INDEX(Register!$D$11:$D$510,MATCH($H313,Register!$J$11:$J$510,0))),INDEX(Register!$D$11:$D$510,MATCH($H313,Register!$J$11:$J$510,0)),INDEX(Register!$D$11:$D$510,MATCH($H313,Register!$J$11:$J$510,0))&amp;""))</f>
        <v/>
      </c>
      <c r="E313" s="25" t="str">
        <f aca="false">IF($H313="","",IF(ISNUMBER(INDEX(Register!$E$11:$E$510,MATCH($H313,Register!$J$11:$J$510,0))),INDEX(Register!$E$11:$E$510,MATCH($H313,Register!$J$11:$J$510,0))&amp;" mo",INDEX(Register!$E$11:$E$510,MATCH($H313,Register!$J$11:$J$510,0))&amp;""))</f>
        <v/>
      </c>
      <c r="F313" s="26" t="str">
        <f aca="false">IF($H313="","",INDEX(Register!$F$11:$F$510,MATCH($H313,Register!$J$11:$J$510,0)))</f>
        <v/>
      </c>
      <c r="G313" s="27" t="str">
        <f aca="false">IF($H313="","",IF(INDEX(Register!$G$11:$G$510,MATCH($H313,Register!$J$11:$J$510,0))="Check details","Check details: "&amp;INDEX(Register!$I$11:$I$510,MATCH($H313,Register!$J$11:$J$510,0)),INDEX(Register!$G$11:$G$510,MATCH($H313,Register!$J$11:$J$510,0))))</f>
        <v/>
      </c>
      <c r="H313" s="28" t="str">
        <f aca="false">IF(307&gt;COUNT(Register!$J$11:$J$510),"",SMALL(Register!$J$11:$J$510,307))</f>
        <v/>
      </c>
    </row>
    <row r="314" customFormat="false" ht="15" hidden="false" customHeight="false" outlineLevel="0" collapsed="false">
      <c r="A314" s="25" t="str">
        <f aca="false">IF($H314="","",INDEX(Register!$A$11:$A$510,MATCH($H314,Register!$J$11:$J$510,0))&amp;"")</f>
        <v/>
      </c>
      <c r="B314" s="25" t="str">
        <f aca="false">IF($H314="","",INDEX(Register!$B$11:$B$510,MATCH($H314,Register!$J$11:$J$510,0))&amp;"")</f>
        <v/>
      </c>
      <c r="C314" s="25" t="str">
        <f aca="false">IF($H314="","",INDEX(Register!$C$11:$C$510,MATCH($H314,Register!$J$11:$J$510,0))&amp;"")</f>
        <v/>
      </c>
      <c r="D314" s="26" t="str">
        <f aca="false">IF($H314="","",IF(ISNUMBER(INDEX(Register!$D$11:$D$510,MATCH($H314,Register!$J$11:$J$510,0))),INDEX(Register!$D$11:$D$510,MATCH($H314,Register!$J$11:$J$510,0)),INDEX(Register!$D$11:$D$510,MATCH($H314,Register!$J$11:$J$510,0))&amp;""))</f>
        <v/>
      </c>
      <c r="E314" s="25" t="str">
        <f aca="false">IF($H314="","",IF(ISNUMBER(INDEX(Register!$E$11:$E$510,MATCH($H314,Register!$J$11:$J$510,0))),INDEX(Register!$E$11:$E$510,MATCH($H314,Register!$J$11:$J$510,0))&amp;" mo",INDEX(Register!$E$11:$E$510,MATCH($H314,Register!$J$11:$J$510,0))&amp;""))</f>
        <v/>
      </c>
      <c r="F314" s="26" t="str">
        <f aca="false">IF($H314="","",INDEX(Register!$F$11:$F$510,MATCH($H314,Register!$J$11:$J$510,0)))</f>
        <v/>
      </c>
      <c r="G314" s="27" t="str">
        <f aca="false">IF($H314="","",IF(INDEX(Register!$G$11:$G$510,MATCH($H314,Register!$J$11:$J$510,0))="Check details","Check details: "&amp;INDEX(Register!$I$11:$I$510,MATCH($H314,Register!$J$11:$J$510,0)),INDEX(Register!$G$11:$G$510,MATCH($H314,Register!$J$11:$J$510,0))))</f>
        <v/>
      </c>
      <c r="H314" s="28" t="str">
        <f aca="false">IF(308&gt;COUNT(Register!$J$11:$J$510),"",SMALL(Register!$J$11:$J$510,308))</f>
        <v/>
      </c>
    </row>
    <row r="315" customFormat="false" ht="15" hidden="false" customHeight="false" outlineLevel="0" collapsed="false">
      <c r="A315" s="25" t="str">
        <f aca="false">IF($H315="","",INDEX(Register!$A$11:$A$510,MATCH($H315,Register!$J$11:$J$510,0))&amp;"")</f>
        <v/>
      </c>
      <c r="B315" s="25" t="str">
        <f aca="false">IF($H315="","",INDEX(Register!$B$11:$B$510,MATCH($H315,Register!$J$11:$J$510,0))&amp;"")</f>
        <v/>
      </c>
      <c r="C315" s="25" t="str">
        <f aca="false">IF($H315="","",INDEX(Register!$C$11:$C$510,MATCH($H315,Register!$J$11:$J$510,0))&amp;"")</f>
        <v/>
      </c>
      <c r="D315" s="26" t="str">
        <f aca="false">IF($H315="","",IF(ISNUMBER(INDEX(Register!$D$11:$D$510,MATCH($H315,Register!$J$11:$J$510,0))),INDEX(Register!$D$11:$D$510,MATCH($H315,Register!$J$11:$J$510,0)),INDEX(Register!$D$11:$D$510,MATCH($H315,Register!$J$11:$J$510,0))&amp;""))</f>
        <v/>
      </c>
      <c r="E315" s="25" t="str">
        <f aca="false">IF($H315="","",IF(ISNUMBER(INDEX(Register!$E$11:$E$510,MATCH($H315,Register!$J$11:$J$510,0))),INDEX(Register!$E$11:$E$510,MATCH($H315,Register!$J$11:$J$510,0))&amp;" mo",INDEX(Register!$E$11:$E$510,MATCH($H315,Register!$J$11:$J$510,0))&amp;""))</f>
        <v/>
      </c>
      <c r="F315" s="26" t="str">
        <f aca="false">IF($H315="","",INDEX(Register!$F$11:$F$510,MATCH($H315,Register!$J$11:$J$510,0)))</f>
        <v/>
      </c>
      <c r="G315" s="27" t="str">
        <f aca="false">IF($H315="","",IF(INDEX(Register!$G$11:$G$510,MATCH($H315,Register!$J$11:$J$510,0))="Check details","Check details: "&amp;INDEX(Register!$I$11:$I$510,MATCH($H315,Register!$J$11:$J$510,0)),INDEX(Register!$G$11:$G$510,MATCH($H315,Register!$J$11:$J$510,0))))</f>
        <v/>
      </c>
      <c r="H315" s="28" t="str">
        <f aca="false">IF(309&gt;COUNT(Register!$J$11:$J$510),"",SMALL(Register!$J$11:$J$510,309))</f>
        <v/>
      </c>
    </row>
    <row r="316" customFormat="false" ht="15" hidden="false" customHeight="false" outlineLevel="0" collapsed="false">
      <c r="A316" s="25" t="str">
        <f aca="false">IF($H316="","",INDEX(Register!$A$11:$A$510,MATCH($H316,Register!$J$11:$J$510,0))&amp;"")</f>
        <v/>
      </c>
      <c r="B316" s="25" t="str">
        <f aca="false">IF($H316="","",INDEX(Register!$B$11:$B$510,MATCH($H316,Register!$J$11:$J$510,0))&amp;"")</f>
        <v/>
      </c>
      <c r="C316" s="25" t="str">
        <f aca="false">IF($H316="","",INDEX(Register!$C$11:$C$510,MATCH($H316,Register!$J$11:$J$510,0))&amp;"")</f>
        <v/>
      </c>
      <c r="D316" s="26" t="str">
        <f aca="false">IF($H316="","",IF(ISNUMBER(INDEX(Register!$D$11:$D$510,MATCH($H316,Register!$J$11:$J$510,0))),INDEX(Register!$D$11:$D$510,MATCH($H316,Register!$J$11:$J$510,0)),INDEX(Register!$D$11:$D$510,MATCH($H316,Register!$J$11:$J$510,0))&amp;""))</f>
        <v/>
      </c>
      <c r="E316" s="25" t="str">
        <f aca="false">IF($H316="","",IF(ISNUMBER(INDEX(Register!$E$11:$E$510,MATCH($H316,Register!$J$11:$J$510,0))),INDEX(Register!$E$11:$E$510,MATCH($H316,Register!$J$11:$J$510,0))&amp;" mo",INDEX(Register!$E$11:$E$510,MATCH($H316,Register!$J$11:$J$510,0))&amp;""))</f>
        <v/>
      </c>
      <c r="F316" s="26" t="str">
        <f aca="false">IF($H316="","",INDEX(Register!$F$11:$F$510,MATCH($H316,Register!$J$11:$J$510,0)))</f>
        <v/>
      </c>
      <c r="G316" s="27" t="str">
        <f aca="false">IF($H316="","",IF(INDEX(Register!$G$11:$G$510,MATCH($H316,Register!$J$11:$J$510,0))="Check details","Check details: "&amp;INDEX(Register!$I$11:$I$510,MATCH($H316,Register!$J$11:$J$510,0)),INDEX(Register!$G$11:$G$510,MATCH($H316,Register!$J$11:$J$510,0))))</f>
        <v/>
      </c>
      <c r="H316" s="28" t="str">
        <f aca="false">IF(310&gt;COUNT(Register!$J$11:$J$510),"",SMALL(Register!$J$11:$J$510,310))</f>
        <v/>
      </c>
    </row>
    <row r="317" customFormat="false" ht="15" hidden="false" customHeight="false" outlineLevel="0" collapsed="false">
      <c r="A317" s="25" t="str">
        <f aca="false">IF($H317="","",INDEX(Register!$A$11:$A$510,MATCH($H317,Register!$J$11:$J$510,0))&amp;"")</f>
        <v/>
      </c>
      <c r="B317" s="25" t="str">
        <f aca="false">IF($H317="","",INDEX(Register!$B$11:$B$510,MATCH($H317,Register!$J$11:$J$510,0))&amp;"")</f>
        <v/>
      </c>
      <c r="C317" s="25" t="str">
        <f aca="false">IF($H317="","",INDEX(Register!$C$11:$C$510,MATCH($H317,Register!$J$11:$J$510,0))&amp;"")</f>
        <v/>
      </c>
      <c r="D317" s="26" t="str">
        <f aca="false">IF($H317="","",IF(ISNUMBER(INDEX(Register!$D$11:$D$510,MATCH($H317,Register!$J$11:$J$510,0))),INDEX(Register!$D$11:$D$510,MATCH($H317,Register!$J$11:$J$510,0)),INDEX(Register!$D$11:$D$510,MATCH($H317,Register!$J$11:$J$510,0))&amp;""))</f>
        <v/>
      </c>
      <c r="E317" s="25" t="str">
        <f aca="false">IF($H317="","",IF(ISNUMBER(INDEX(Register!$E$11:$E$510,MATCH($H317,Register!$J$11:$J$510,0))),INDEX(Register!$E$11:$E$510,MATCH($H317,Register!$J$11:$J$510,0))&amp;" mo",INDEX(Register!$E$11:$E$510,MATCH($H317,Register!$J$11:$J$510,0))&amp;""))</f>
        <v/>
      </c>
      <c r="F317" s="26" t="str">
        <f aca="false">IF($H317="","",INDEX(Register!$F$11:$F$510,MATCH($H317,Register!$J$11:$J$510,0)))</f>
        <v/>
      </c>
      <c r="G317" s="27" t="str">
        <f aca="false">IF($H317="","",IF(INDEX(Register!$G$11:$G$510,MATCH($H317,Register!$J$11:$J$510,0))="Check details","Check details: "&amp;INDEX(Register!$I$11:$I$510,MATCH($H317,Register!$J$11:$J$510,0)),INDEX(Register!$G$11:$G$510,MATCH($H317,Register!$J$11:$J$510,0))))</f>
        <v/>
      </c>
      <c r="H317" s="28" t="str">
        <f aca="false">IF(311&gt;COUNT(Register!$J$11:$J$510),"",SMALL(Register!$J$11:$J$510,311))</f>
        <v/>
      </c>
    </row>
    <row r="318" customFormat="false" ht="15" hidden="false" customHeight="false" outlineLevel="0" collapsed="false">
      <c r="A318" s="25" t="str">
        <f aca="false">IF($H318="","",INDEX(Register!$A$11:$A$510,MATCH($H318,Register!$J$11:$J$510,0))&amp;"")</f>
        <v/>
      </c>
      <c r="B318" s="25" t="str">
        <f aca="false">IF($H318="","",INDEX(Register!$B$11:$B$510,MATCH($H318,Register!$J$11:$J$510,0))&amp;"")</f>
        <v/>
      </c>
      <c r="C318" s="25" t="str">
        <f aca="false">IF($H318="","",INDEX(Register!$C$11:$C$510,MATCH($H318,Register!$J$11:$J$510,0))&amp;"")</f>
        <v/>
      </c>
      <c r="D318" s="26" t="str">
        <f aca="false">IF($H318="","",IF(ISNUMBER(INDEX(Register!$D$11:$D$510,MATCH($H318,Register!$J$11:$J$510,0))),INDEX(Register!$D$11:$D$510,MATCH($H318,Register!$J$11:$J$510,0)),INDEX(Register!$D$11:$D$510,MATCH($H318,Register!$J$11:$J$510,0))&amp;""))</f>
        <v/>
      </c>
      <c r="E318" s="25" t="str">
        <f aca="false">IF($H318="","",IF(ISNUMBER(INDEX(Register!$E$11:$E$510,MATCH($H318,Register!$J$11:$J$510,0))),INDEX(Register!$E$11:$E$510,MATCH($H318,Register!$J$11:$J$510,0))&amp;" mo",INDEX(Register!$E$11:$E$510,MATCH($H318,Register!$J$11:$J$510,0))&amp;""))</f>
        <v/>
      </c>
      <c r="F318" s="26" t="str">
        <f aca="false">IF($H318="","",INDEX(Register!$F$11:$F$510,MATCH($H318,Register!$J$11:$J$510,0)))</f>
        <v/>
      </c>
      <c r="G318" s="27" t="str">
        <f aca="false">IF($H318="","",IF(INDEX(Register!$G$11:$G$510,MATCH($H318,Register!$J$11:$J$510,0))="Check details","Check details: "&amp;INDEX(Register!$I$11:$I$510,MATCH($H318,Register!$J$11:$J$510,0)),INDEX(Register!$G$11:$G$510,MATCH($H318,Register!$J$11:$J$510,0))))</f>
        <v/>
      </c>
      <c r="H318" s="28" t="str">
        <f aca="false">IF(312&gt;COUNT(Register!$J$11:$J$510),"",SMALL(Register!$J$11:$J$510,312))</f>
        <v/>
      </c>
    </row>
    <row r="319" customFormat="false" ht="15" hidden="false" customHeight="false" outlineLevel="0" collapsed="false">
      <c r="A319" s="25" t="str">
        <f aca="false">IF($H319="","",INDEX(Register!$A$11:$A$510,MATCH($H319,Register!$J$11:$J$510,0))&amp;"")</f>
        <v/>
      </c>
      <c r="B319" s="25" t="str">
        <f aca="false">IF($H319="","",INDEX(Register!$B$11:$B$510,MATCH($H319,Register!$J$11:$J$510,0))&amp;"")</f>
        <v/>
      </c>
      <c r="C319" s="25" t="str">
        <f aca="false">IF($H319="","",INDEX(Register!$C$11:$C$510,MATCH($H319,Register!$J$11:$J$510,0))&amp;"")</f>
        <v/>
      </c>
      <c r="D319" s="26" t="str">
        <f aca="false">IF($H319="","",IF(ISNUMBER(INDEX(Register!$D$11:$D$510,MATCH($H319,Register!$J$11:$J$510,0))),INDEX(Register!$D$11:$D$510,MATCH($H319,Register!$J$11:$J$510,0)),INDEX(Register!$D$11:$D$510,MATCH($H319,Register!$J$11:$J$510,0))&amp;""))</f>
        <v/>
      </c>
      <c r="E319" s="25" t="str">
        <f aca="false">IF($H319="","",IF(ISNUMBER(INDEX(Register!$E$11:$E$510,MATCH($H319,Register!$J$11:$J$510,0))),INDEX(Register!$E$11:$E$510,MATCH($H319,Register!$J$11:$J$510,0))&amp;" mo",INDEX(Register!$E$11:$E$510,MATCH($H319,Register!$J$11:$J$510,0))&amp;""))</f>
        <v/>
      </c>
      <c r="F319" s="26" t="str">
        <f aca="false">IF($H319="","",INDEX(Register!$F$11:$F$510,MATCH($H319,Register!$J$11:$J$510,0)))</f>
        <v/>
      </c>
      <c r="G319" s="27" t="str">
        <f aca="false">IF($H319="","",IF(INDEX(Register!$G$11:$G$510,MATCH($H319,Register!$J$11:$J$510,0))="Check details","Check details: "&amp;INDEX(Register!$I$11:$I$510,MATCH($H319,Register!$J$11:$J$510,0)),INDEX(Register!$G$11:$G$510,MATCH($H319,Register!$J$11:$J$510,0))))</f>
        <v/>
      </c>
      <c r="H319" s="28" t="str">
        <f aca="false">IF(313&gt;COUNT(Register!$J$11:$J$510),"",SMALL(Register!$J$11:$J$510,313))</f>
        <v/>
      </c>
    </row>
    <row r="320" customFormat="false" ht="15" hidden="false" customHeight="false" outlineLevel="0" collapsed="false">
      <c r="A320" s="25" t="str">
        <f aca="false">IF($H320="","",INDEX(Register!$A$11:$A$510,MATCH($H320,Register!$J$11:$J$510,0))&amp;"")</f>
        <v/>
      </c>
      <c r="B320" s="25" t="str">
        <f aca="false">IF($H320="","",INDEX(Register!$B$11:$B$510,MATCH($H320,Register!$J$11:$J$510,0))&amp;"")</f>
        <v/>
      </c>
      <c r="C320" s="25" t="str">
        <f aca="false">IF($H320="","",INDEX(Register!$C$11:$C$510,MATCH($H320,Register!$J$11:$J$510,0))&amp;"")</f>
        <v/>
      </c>
      <c r="D320" s="26" t="str">
        <f aca="false">IF($H320="","",IF(ISNUMBER(INDEX(Register!$D$11:$D$510,MATCH($H320,Register!$J$11:$J$510,0))),INDEX(Register!$D$11:$D$510,MATCH($H320,Register!$J$11:$J$510,0)),INDEX(Register!$D$11:$D$510,MATCH($H320,Register!$J$11:$J$510,0))&amp;""))</f>
        <v/>
      </c>
      <c r="E320" s="25" t="str">
        <f aca="false">IF($H320="","",IF(ISNUMBER(INDEX(Register!$E$11:$E$510,MATCH($H320,Register!$J$11:$J$510,0))),INDEX(Register!$E$11:$E$510,MATCH($H320,Register!$J$11:$J$510,0))&amp;" mo",INDEX(Register!$E$11:$E$510,MATCH($H320,Register!$J$11:$J$510,0))&amp;""))</f>
        <v/>
      </c>
      <c r="F320" s="26" t="str">
        <f aca="false">IF($H320="","",INDEX(Register!$F$11:$F$510,MATCH($H320,Register!$J$11:$J$510,0)))</f>
        <v/>
      </c>
      <c r="G320" s="27" t="str">
        <f aca="false">IF($H320="","",IF(INDEX(Register!$G$11:$G$510,MATCH($H320,Register!$J$11:$J$510,0))="Check details","Check details: "&amp;INDEX(Register!$I$11:$I$510,MATCH($H320,Register!$J$11:$J$510,0)),INDEX(Register!$G$11:$G$510,MATCH($H320,Register!$J$11:$J$510,0))))</f>
        <v/>
      </c>
      <c r="H320" s="28" t="str">
        <f aca="false">IF(314&gt;COUNT(Register!$J$11:$J$510),"",SMALL(Register!$J$11:$J$510,314))</f>
        <v/>
      </c>
    </row>
    <row r="321" customFormat="false" ht="15" hidden="false" customHeight="false" outlineLevel="0" collapsed="false">
      <c r="A321" s="25" t="str">
        <f aca="false">IF($H321="","",INDEX(Register!$A$11:$A$510,MATCH($H321,Register!$J$11:$J$510,0))&amp;"")</f>
        <v/>
      </c>
      <c r="B321" s="25" t="str">
        <f aca="false">IF($H321="","",INDEX(Register!$B$11:$B$510,MATCH($H321,Register!$J$11:$J$510,0))&amp;"")</f>
        <v/>
      </c>
      <c r="C321" s="25" t="str">
        <f aca="false">IF($H321="","",INDEX(Register!$C$11:$C$510,MATCH($H321,Register!$J$11:$J$510,0))&amp;"")</f>
        <v/>
      </c>
      <c r="D321" s="26" t="str">
        <f aca="false">IF($H321="","",IF(ISNUMBER(INDEX(Register!$D$11:$D$510,MATCH($H321,Register!$J$11:$J$510,0))),INDEX(Register!$D$11:$D$510,MATCH($H321,Register!$J$11:$J$510,0)),INDEX(Register!$D$11:$D$510,MATCH($H321,Register!$J$11:$J$510,0))&amp;""))</f>
        <v/>
      </c>
      <c r="E321" s="25" t="str">
        <f aca="false">IF($H321="","",IF(ISNUMBER(INDEX(Register!$E$11:$E$510,MATCH($H321,Register!$J$11:$J$510,0))),INDEX(Register!$E$11:$E$510,MATCH($H321,Register!$J$11:$J$510,0))&amp;" mo",INDEX(Register!$E$11:$E$510,MATCH($H321,Register!$J$11:$J$510,0))&amp;""))</f>
        <v/>
      </c>
      <c r="F321" s="26" t="str">
        <f aca="false">IF($H321="","",INDEX(Register!$F$11:$F$510,MATCH($H321,Register!$J$11:$J$510,0)))</f>
        <v/>
      </c>
      <c r="G321" s="27" t="str">
        <f aca="false">IF($H321="","",IF(INDEX(Register!$G$11:$G$510,MATCH($H321,Register!$J$11:$J$510,0))="Check details","Check details: "&amp;INDEX(Register!$I$11:$I$510,MATCH($H321,Register!$J$11:$J$510,0)),INDEX(Register!$G$11:$G$510,MATCH($H321,Register!$J$11:$J$510,0))))</f>
        <v/>
      </c>
      <c r="H321" s="28" t="str">
        <f aca="false">IF(315&gt;COUNT(Register!$J$11:$J$510),"",SMALL(Register!$J$11:$J$510,315))</f>
        <v/>
      </c>
    </row>
    <row r="322" customFormat="false" ht="15" hidden="false" customHeight="false" outlineLevel="0" collapsed="false">
      <c r="A322" s="25" t="str">
        <f aca="false">IF($H322="","",INDEX(Register!$A$11:$A$510,MATCH($H322,Register!$J$11:$J$510,0))&amp;"")</f>
        <v/>
      </c>
      <c r="B322" s="25" t="str">
        <f aca="false">IF($H322="","",INDEX(Register!$B$11:$B$510,MATCH($H322,Register!$J$11:$J$510,0))&amp;"")</f>
        <v/>
      </c>
      <c r="C322" s="25" t="str">
        <f aca="false">IF($H322="","",INDEX(Register!$C$11:$C$510,MATCH($H322,Register!$J$11:$J$510,0))&amp;"")</f>
        <v/>
      </c>
      <c r="D322" s="26" t="str">
        <f aca="false">IF($H322="","",IF(ISNUMBER(INDEX(Register!$D$11:$D$510,MATCH($H322,Register!$J$11:$J$510,0))),INDEX(Register!$D$11:$D$510,MATCH($H322,Register!$J$11:$J$510,0)),INDEX(Register!$D$11:$D$510,MATCH($H322,Register!$J$11:$J$510,0))&amp;""))</f>
        <v/>
      </c>
      <c r="E322" s="25" t="str">
        <f aca="false">IF($H322="","",IF(ISNUMBER(INDEX(Register!$E$11:$E$510,MATCH($H322,Register!$J$11:$J$510,0))),INDEX(Register!$E$11:$E$510,MATCH($H322,Register!$J$11:$J$510,0))&amp;" mo",INDEX(Register!$E$11:$E$510,MATCH($H322,Register!$J$11:$J$510,0))&amp;""))</f>
        <v/>
      </c>
      <c r="F322" s="26" t="str">
        <f aca="false">IF($H322="","",INDEX(Register!$F$11:$F$510,MATCH($H322,Register!$J$11:$J$510,0)))</f>
        <v/>
      </c>
      <c r="G322" s="27" t="str">
        <f aca="false">IF($H322="","",IF(INDEX(Register!$G$11:$G$510,MATCH($H322,Register!$J$11:$J$510,0))="Check details","Check details: "&amp;INDEX(Register!$I$11:$I$510,MATCH($H322,Register!$J$11:$J$510,0)),INDEX(Register!$G$11:$G$510,MATCH($H322,Register!$J$11:$J$510,0))))</f>
        <v/>
      </c>
      <c r="H322" s="28" t="str">
        <f aca="false">IF(316&gt;COUNT(Register!$J$11:$J$510),"",SMALL(Register!$J$11:$J$510,316))</f>
        <v/>
      </c>
    </row>
    <row r="323" customFormat="false" ht="15" hidden="false" customHeight="false" outlineLevel="0" collapsed="false">
      <c r="A323" s="25" t="str">
        <f aca="false">IF($H323="","",INDEX(Register!$A$11:$A$510,MATCH($H323,Register!$J$11:$J$510,0))&amp;"")</f>
        <v/>
      </c>
      <c r="B323" s="25" t="str">
        <f aca="false">IF($H323="","",INDEX(Register!$B$11:$B$510,MATCH($H323,Register!$J$11:$J$510,0))&amp;"")</f>
        <v/>
      </c>
      <c r="C323" s="25" t="str">
        <f aca="false">IF($H323="","",INDEX(Register!$C$11:$C$510,MATCH($H323,Register!$J$11:$J$510,0))&amp;"")</f>
        <v/>
      </c>
      <c r="D323" s="26" t="str">
        <f aca="false">IF($H323="","",IF(ISNUMBER(INDEX(Register!$D$11:$D$510,MATCH($H323,Register!$J$11:$J$510,0))),INDEX(Register!$D$11:$D$510,MATCH($H323,Register!$J$11:$J$510,0)),INDEX(Register!$D$11:$D$510,MATCH($H323,Register!$J$11:$J$510,0))&amp;""))</f>
        <v/>
      </c>
      <c r="E323" s="25" t="str">
        <f aca="false">IF($H323="","",IF(ISNUMBER(INDEX(Register!$E$11:$E$510,MATCH($H323,Register!$J$11:$J$510,0))),INDEX(Register!$E$11:$E$510,MATCH($H323,Register!$J$11:$J$510,0))&amp;" mo",INDEX(Register!$E$11:$E$510,MATCH($H323,Register!$J$11:$J$510,0))&amp;""))</f>
        <v/>
      </c>
      <c r="F323" s="26" t="str">
        <f aca="false">IF($H323="","",INDEX(Register!$F$11:$F$510,MATCH($H323,Register!$J$11:$J$510,0)))</f>
        <v/>
      </c>
      <c r="G323" s="27" t="str">
        <f aca="false">IF($H323="","",IF(INDEX(Register!$G$11:$G$510,MATCH($H323,Register!$J$11:$J$510,0))="Check details","Check details: "&amp;INDEX(Register!$I$11:$I$510,MATCH($H323,Register!$J$11:$J$510,0)),INDEX(Register!$G$11:$G$510,MATCH($H323,Register!$J$11:$J$510,0))))</f>
        <v/>
      </c>
      <c r="H323" s="28" t="str">
        <f aca="false">IF(317&gt;COUNT(Register!$J$11:$J$510),"",SMALL(Register!$J$11:$J$510,317))</f>
        <v/>
      </c>
    </row>
    <row r="324" customFormat="false" ht="15" hidden="false" customHeight="false" outlineLevel="0" collapsed="false">
      <c r="A324" s="25" t="str">
        <f aca="false">IF($H324="","",INDEX(Register!$A$11:$A$510,MATCH($H324,Register!$J$11:$J$510,0))&amp;"")</f>
        <v/>
      </c>
      <c r="B324" s="25" t="str">
        <f aca="false">IF($H324="","",INDEX(Register!$B$11:$B$510,MATCH($H324,Register!$J$11:$J$510,0))&amp;"")</f>
        <v/>
      </c>
      <c r="C324" s="25" t="str">
        <f aca="false">IF($H324="","",INDEX(Register!$C$11:$C$510,MATCH($H324,Register!$J$11:$J$510,0))&amp;"")</f>
        <v/>
      </c>
      <c r="D324" s="26" t="str">
        <f aca="false">IF($H324="","",IF(ISNUMBER(INDEX(Register!$D$11:$D$510,MATCH($H324,Register!$J$11:$J$510,0))),INDEX(Register!$D$11:$D$510,MATCH($H324,Register!$J$11:$J$510,0)),INDEX(Register!$D$11:$D$510,MATCH($H324,Register!$J$11:$J$510,0))&amp;""))</f>
        <v/>
      </c>
      <c r="E324" s="25" t="str">
        <f aca="false">IF($H324="","",IF(ISNUMBER(INDEX(Register!$E$11:$E$510,MATCH($H324,Register!$J$11:$J$510,0))),INDEX(Register!$E$11:$E$510,MATCH($H324,Register!$J$11:$J$510,0))&amp;" mo",INDEX(Register!$E$11:$E$510,MATCH($H324,Register!$J$11:$J$510,0))&amp;""))</f>
        <v/>
      </c>
      <c r="F324" s="26" t="str">
        <f aca="false">IF($H324="","",INDEX(Register!$F$11:$F$510,MATCH($H324,Register!$J$11:$J$510,0)))</f>
        <v/>
      </c>
      <c r="G324" s="27" t="str">
        <f aca="false">IF($H324="","",IF(INDEX(Register!$G$11:$G$510,MATCH($H324,Register!$J$11:$J$510,0))="Check details","Check details: "&amp;INDEX(Register!$I$11:$I$510,MATCH($H324,Register!$J$11:$J$510,0)),INDEX(Register!$G$11:$G$510,MATCH($H324,Register!$J$11:$J$510,0))))</f>
        <v/>
      </c>
      <c r="H324" s="28" t="str">
        <f aca="false">IF(318&gt;COUNT(Register!$J$11:$J$510),"",SMALL(Register!$J$11:$J$510,318))</f>
        <v/>
      </c>
    </row>
    <row r="325" customFormat="false" ht="15" hidden="false" customHeight="false" outlineLevel="0" collapsed="false">
      <c r="A325" s="25" t="str">
        <f aca="false">IF($H325="","",INDEX(Register!$A$11:$A$510,MATCH($H325,Register!$J$11:$J$510,0))&amp;"")</f>
        <v/>
      </c>
      <c r="B325" s="25" t="str">
        <f aca="false">IF($H325="","",INDEX(Register!$B$11:$B$510,MATCH($H325,Register!$J$11:$J$510,0))&amp;"")</f>
        <v/>
      </c>
      <c r="C325" s="25" t="str">
        <f aca="false">IF($H325="","",INDEX(Register!$C$11:$C$510,MATCH($H325,Register!$J$11:$J$510,0))&amp;"")</f>
        <v/>
      </c>
      <c r="D325" s="26" t="str">
        <f aca="false">IF($H325="","",IF(ISNUMBER(INDEX(Register!$D$11:$D$510,MATCH($H325,Register!$J$11:$J$510,0))),INDEX(Register!$D$11:$D$510,MATCH($H325,Register!$J$11:$J$510,0)),INDEX(Register!$D$11:$D$510,MATCH($H325,Register!$J$11:$J$510,0))&amp;""))</f>
        <v/>
      </c>
      <c r="E325" s="25" t="str">
        <f aca="false">IF($H325="","",IF(ISNUMBER(INDEX(Register!$E$11:$E$510,MATCH($H325,Register!$J$11:$J$510,0))),INDEX(Register!$E$11:$E$510,MATCH($H325,Register!$J$11:$J$510,0))&amp;" mo",INDEX(Register!$E$11:$E$510,MATCH($H325,Register!$J$11:$J$510,0))&amp;""))</f>
        <v/>
      </c>
      <c r="F325" s="26" t="str">
        <f aca="false">IF($H325="","",INDEX(Register!$F$11:$F$510,MATCH($H325,Register!$J$11:$J$510,0)))</f>
        <v/>
      </c>
      <c r="G325" s="27" t="str">
        <f aca="false">IF($H325="","",IF(INDEX(Register!$G$11:$G$510,MATCH($H325,Register!$J$11:$J$510,0))="Check details","Check details: "&amp;INDEX(Register!$I$11:$I$510,MATCH($H325,Register!$J$11:$J$510,0)),INDEX(Register!$G$11:$G$510,MATCH($H325,Register!$J$11:$J$510,0))))</f>
        <v/>
      </c>
      <c r="H325" s="28" t="str">
        <f aca="false">IF(319&gt;COUNT(Register!$J$11:$J$510),"",SMALL(Register!$J$11:$J$510,319))</f>
        <v/>
      </c>
    </row>
    <row r="326" customFormat="false" ht="15" hidden="false" customHeight="false" outlineLevel="0" collapsed="false">
      <c r="A326" s="25" t="str">
        <f aca="false">IF($H326="","",INDEX(Register!$A$11:$A$510,MATCH($H326,Register!$J$11:$J$510,0))&amp;"")</f>
        <v/>
      </c>
      <c r="B326" s="25" t="str">
        <f aca="false">IF($H326="","",INDEX(Register!$B$11:$B$510,MATCH($H326,Register!$J$11:$J$510,0))&amp;"")</f>
        <v/>
      </c>
      <c r="C326" s="25" t="str">
        <f aca="false">IF($H326="","",INDEX(Register!$C$11:$C$510,MATCH($H326,Register!$J$11:$J$510,0))&amp;"")</f>
        <v/>
      </c>
      <c r="D326" s="26" t="str">
        <f aca="false">IF($H326="","",IF(ISNUMBER(INDEX(Register!$D$11:$D$510,MATCH($H326,Register!$J$11:$J$510,0))),INDEX(Register!$D$11:$D$510,MATCH($H326,Register!$J$11:$J$510,0)),INDEX(Register!$D$11:$D$510,MATCH($H326,Register!$J$11:$J$510,0))&amp;""))</f>
        <v/>
      </c>
      <c r="E326" s="25" t="str">
        <f aca="false">IF($H326="","",IF(ISNUMBER(INDEX(Register!$E$11:$E$510,MATCH($H326,Register!$J$11:$J$510,0))),INDEX(Register!$E$11:$E$510,MATCH($H326,Register!$J$11:$J$510,0))&amp;" mo",INDEX(Register!$E$11:$E$510,MATCH($H326,Register!$J$11:$J$510,0))&amp;""))</f>
        <v/>
      </c>
      <c r="F326" s="26" t="str">
        <f aca="false">IF($H326="","",INDEX(Register!$F$11:$F$510,MATCH($H326,Register!$J$11:$J$510,0)))</f>
        <v/>
      </c>
      <c r="G326" s="27" t="str">
        <f aca="false">IF($H326="","",IF(INDEX(Register!$G$11:$G$510,MATCH($H326,Register!$J$11:$J$510,0))="Check details","Check details: "&amp;INDEX(Register!$I$11:$I$510,MATCH($H326,Register!$J$11:$J$510,0)),INDEX(Register!$G$11:$G$510,MATCH($H326,Register!$J$11:$J$510,0))))</f>
        <v/>
      </c>
      <c r="H326" s="28" t="str">
        <f aca="false">IF(320&gt;COUNT(Register!$J$11:$J$510),"",SMALL(Register!$J$11:$J$510,320))</f>
        <v/>
      </c>
    </row>
    <row r="327" customFormat="false" ht="15" hidden="false" customHeight="false" outlineLevel="0" collapsed="false">
      <c r="A327" s="25" t="str">
        <f aca="false">IF($H327="","",INDEX(Register!$A$11:$A$510,MATCH($H327,Register!$J$11:$J$510,0))&amp;"")</f>
        <v/>
      </c>
      <c r="B327" s="25" t="str">
        <f aca="false">IF($H327="","",INDEX(Register!$B$11:$B$510,MATCH($H327,Register!$J$11:$J$510,0))&amp;"")</f>
        <v/>
      </c>
      <c r="C327" s="25" t="str">
        <f aca="false">IF($H327="","",INDEX(Register!$C$11:$C$510,MATCH($H327,Register!$J$11:$J$510,0))&amp;"")</f>
        <v/>
      </c>
      <c r="D327" s="26" t="str">
        <f aca="false">IF($H327="","",IF(ISNUMBER(INDEX(Register!$D$11:$D$510,MATCH($H327,Register!$J$11:$J$510,0))),INDEX(Register!$D$11:$D$510,MATCH($H327,Register!$J$11:$J$510,0)),INDEX(Register!$D$11:$D$510,MATCH($H327,Register!$J$11:$J$510,0))&amp;""))</f>
        <v/>
      </c>
      <c r="E327" s="25" t="str">
        <f aca="false">IF($H327="","",IF(ISNUMBER(INDEX(Register!$E$11:$E$510,MATCH($H327,Register!$J$11:$J$510,0))),INDEX(Register!$E$11:$E$510,MATCH($H327,Register!$J$11:$J$510,0))&amp;" mo",INDEX(Register!$E$11:$E$510,MATCH($H327,Register!$J$11:$J$510,0))&amp;""))</f>
        <v/>
      </c>
      <c r="F327" s="26" t="str">
        <f aca="false">IF($H327="","",INDEX(Register!$F$11:$F$510,MATCH($H327,Register!$J$11:$J$510,0)))</f>
        <v/>
      </c>
      <c r="G327" s="27" t="str">
        <f aca="false">IF($H327="","",IF(INDEX(Register!$G$11:$G$510,MATCH($H327,Register!$J$11:$J$510,0))="Check details","Check details: "&amp;INDEX(Register!$I$11:$I$510,MATCH($H327,Register!$J$11:$J$510,0)),INDEX(Register!$G$11:$G$510,MATCH($H327,Register!$J$11:$J$510,0))))</f>
        <v/>
      </c>
      <c r="H327" s="28" t="str">
        <f aca="false">IF(321&gt;COUNT(Register!$J$11:$J$510),"",SMALL(Register!$J$11:$J$510,321))</f>
        <v/>
      </c>
    </row>
    <row r="328" customFormat="false" ht="15" hidden="false" customHeight="false" outlineLevel="0" collapsed="false">
      <c r="A328" s="25" t="str">
        <f aca="false">IF($H328="","",INDEX(Register!$A$11:$A$510,MATCH($H328,Register!$J$11:$J$510,0))&amp;"")</f>
        <v/>
      </c>
      <c r="B328" s="25" t="str">
        <f aca="false">IF($H328="","",INDEX(Register!$B$11:$B$510,MATCH($H328,Register!$J$11:$J$510,0))&amp;"")</f>
        <v/>
      </c>
      <c r="C328" s="25" t="str">
        <f aca="false">IF($H328="","",INDEX(Register!$C$11:$C$510,MATCH($H328,Register!$J$11:$J$510,0))&amp;"")</f>
        <v/>
      </c>
      <c r="D328" s="26" t="str">
        <f aca="false">IF($H328="","",IF(ISNUMBER(INDEX(Register!$D$11:$D$510,MATCH($H328,Register!$J$11:$J$510,0))),INDEX(Register!$D$11:$D$510,MATCH($H328,Register!$J$11:$J$510,0)),INDEX(Register!$D$11:$D$510,MATCH($H328,Register!$J$11:$J$510,0))&amp;""))</f>
        <v/>
      </c>
      <c r="E328" s="25" t="str">
        <f aca="false">IF($H328="","",IF(ISNUMBER(INDEX(Register!$E$11:$E$510,MATCH($H328,Register!$J$11:$J$510,0))),INDEX(Register!$E$11:$E$510,MATCH($H328,Register!$J$11:$J$510,0))&amp;" mo",INDEX(Register!$E$11:$E$510,MATCH($H328,Register!$J$11:$J$510,0))&amp;""))</f>
        <v/>
      </c>
      <c r="F328" s="26" t="str">
        <f aca="false">IF($H328="","",INDEX(Register!$F$11:$F$510,MATCH($H328,Register!$J$11:$J$510,0)))</f>
        <v/>
      </c>
      <c r="G328" s="27" t="str">
        <f aca="false">IF($H328="","",IF(INDEX(Register!$G$11:$G$510,MATCH($H328,Register!$J$11:$J$510,0))="Check details","Check details: "&amp;INDEX(Register!$I$11:$I$510,MATCH($H328,Register!$J$11:$J$510,0)),INDEX(Register!$G$11:$G$510,MATCH($H328,Register!$J$11:$J$510,0))))</f>
        <v/>
      </c>
      <c r="H328" s="28" t="str">
        <f aca="false">IF(322&gt;COUNT(Register!$J$11:$J$510),"",SMALL(Register!$J$11:$J$510,322))</f>
        <v/>
      </c>
    </row>
    <row r="329" customFormat="false" ht="15" hidden="false" customHeight="false" outlineLevel="0" collapsed="false">
      <c r="A329" s="25" t="str">
        <f aca="false">IF($H329="","",INDEX(Register!$A$11:$A$510,MATCH($H329,Register!$J$11:$J$510,0))&amp;"")</f>
        <v/>
      </c>
      <c r="B329" s="25" t="str">
        <f aca="false">IF($H329="","",INDEX(Register!$B$11:$B$510,MATCH($H329,Register!$J$11:$J$510,0))&amp;"")</f>
        <v/>
      </c>
      <c r="C329" s="25" t="str">
        <f aca="false">IF($H329="","",INDEX(Register!$C$11:$C$510,MATCH($H329,Register!$J$11:$J$510,0))&amp;"")</f>
        <v/>
      </c>
      <c r="D329" s="26" t="str">
        <f aca="false">IF($H329="","",IF(ISNUMBER(INDEX(Register!$D$11:$D$510,MATCH($H329,Register!$J$11:$J$510,0))),INDEX(Register!$D$11:$D$510,MATCH($H329,Register!$J$11:$J$510,0)),INDEX(Register!$D$11:$D$510,MATCH($H329,Register!$J$11:$J$510,0))&amp;""))</f>
        <v/>
      </c>
      <c r="E329" s="25" t="str">
        <f aca="false">IF($H329="","",IF(ISNUMBER(INDEX(Register!$E$11:$E$510,MATCH($H329,Register!$J$11:$J$510,0))),INDEX(Register!$E$11:$E$510,MATCH($H329,Register!$J$11:$J$510,0))&amp;" mo",INDEX(Register!$E$11:$E$510,MATCH($H329,Register!$J$11:$J$510,0))&amp;""))</f>
        <v/>
      </c>
      <c r="F329" s="26" t="str">
        <f aca="false">IF($H329="","",INDEX(Register!$F$11:$F$510,MATCH($H329,Register!$J$11:$J$510,0)))</f>
        <v/>
      </c>
      <c r="G329" s="27" t="str">
        <f aca="false">IF($H329="","",IF(INDEX(Register!$G$11:$G$510,MATCH($H329,Register!$J$11:$J$510,0))="Check details","Check details: "&amp;INDEX(Register!$I$11:$I$510,MATCH($H329,Register!$J$11:$J$510,0)),INDEX(Register!$G$11:$G$510,MATCH($H329,Register!$J$11:$J$510,0))))</f>
        <v/>
      </c>
      <c r="H329" s="28" t="str">
        <f aca="false">IF(323&gt;COUNT(Register!$J$11:$J$510),"",SMALL(Register!$J$11:$J$510,323))</f>
        <v/>
      </c>
    </row>
    <row r="330" customFormat="false" ht="15" hidden="false" customHeight="false" outlineLevel="0" collapsed="false">
      <c r="A330" s="25" t="str">
        <f aca="false">IF($H330="","",INDEX(Register!$A$11:$A$510,MATCH($H330,Register!$J$11:$J$510,0))&amp;"")</f>
        <v/>
      </c>
      <c r="B330" s="25" t="str">
        <f aca="false">IF($H330="","",INDEX(Register!$B$11:$B$510,MATCH($H330,Register!$J$11:$J$510,0))&amp;"")</f>
        <v/>
      </c>
      <c r="C330" s="25" t="str">
        <f aca="false">IF($H330="","",INDEX(Register!$C$11:$C$510,MATCH($H330,Register!$J$11:$J$510,0))&amp;"")</f>
        <v/>
      </c>
      <c r="D330" s="26" t="str">
        <f aca="false">IF($H330="","",IF(ISNUMBER(INDEX(Register!$D$11:$D$510,MATCH($H330,Register!$J$11:$J$510,0))),INDEX(Register!$D$11:$D$510,MATCH($H330,Register!$J$11:$J$510,0)),INDEX(Register!$D$11:$D$510,MATCH($H330,Register!$J$11:$J$510,0))&amp;""))</f>
        <v/>
      </c>
      <c r="E330" s="25" t="str">
        <f aca="false">IF($H330="","",IF(ISNUMBER(INDEX(Register!$E$11:$E$510,MATCH($H330,Register!$J$11:$J$510,0))),INDEX(Register!$E$11:$E$510,MATCH($H330,Register!$J$11:$J$510,0))&amp;" mo",INDEX(Register!$E$11:$E$510,MATCH($H330,Register!$J$11:$J$510,0))&amp;""))</f>
        <v/>
      </c>
      <c r="F330" s="26" t="str">
        <f aca="false">IF($H330="","",INDEX(Register!$F$11:$F$510,MATCH($H330,Register!$J$11:$J$510,0)))</f>
        <v/>
      </c>
      <c r="G330" s="27" t="str">
        <f aca="false">IF($H330="","",IF(INDEX(Register!$G$11:$G$510,MATCH($H330,Register!$J$11:$J$510,0))="Check details","Check details: "&amp;INDEX(Register!$I$11:$I$510,MATCH($H330,Register!$J$11:$J$510,0)),INDEX(Register!$G$11:$G$510,MATCH($H330,Register!$J$11:$J$510,0))))</f>
        <v/>
      </c>
      <c r="H330" s="28" t="str">
        <f aca="false">IF(324&gt;COUNT(Register!$J$11:$J$510),"",SMALL(Register!$J$11:$J$510,324))</f>
        <v/>
      </c>
    </row>
    <row r="331" customFormat="false" ht="15" hidden="false" customHeight="false" outlineLevel="0" collapsed="false">
      <c r="A331" s="25" t="str">
        <f aca="false">IF($H331="","",INDEX(Register!$A$11:$A$510,MATCH($H331,Register!$J$11:$J$510,0))&amp;"")</f>
        <v/>
      </c>
      <c r="B331" s="25" t="str">
        <f aca="false">IF($H331="","",INDEX(Register!$B$11:$B$510,MATCH($H331,Register!$J$11:$J$510,0))&amp;"")</f>
        <v/>
      </c>
      <c r="C331" s="25" t="str">
        <f aca="false">IF($H331="","",INDEX(Register!$C$11:$C$510,MATCH($H331,Register!$J$11:$J$510,0))&amp;"")</f>
        <v/>
      </c>
      <c r="D331" s="26" t="str">
        <f aca="false">IF($H331="","",IF(ISNUMBER(INDEX(Register!$D$11:$D$510,MATCH($H331,Register!$J$11:$J$510,0))),INDEX(Register!$D$11:$D$510,MATCH($H331,Register!$J$11:$J$510,0)),INDEX(Register!$D$11:$D$510,MATCH($H331,Register!$J$11:$J$510,0))&amp;""))</f>
        <v/>
      </c>
      <c r="E331" s="25" t="str">
        <f aca="false">IF($H331="","",IF(ISNUMBER(INDEX(Register!$E$11:$E$510,MATCH($H331,Register!$J$11:$J$510,0))),INDEX(Register!$E$11:$E$510,MATCH($H331,Register!$J$11:$J$510,0))&amp;" mo",INDEX(Register!$E$11:$E$510,MATCH($H331,Register!$J$11:$J$510,0))&amp;""))</f>
        <v/>
      </c>
      <c r="F331" s="26" t="str">
        <f aca="false">IF($H331="","",INDEX(Register!$F$11:$F$510,MATCH($H331,Register!$J$11:$J$510,0)))</f>
        <v/>
      </c>
      <c r="G331" s="27" t="str">
        <f aca="false">IF($H331="","",IF(INDEX(Register!$G$11:$G$510,MATCH($H331,Register!$J$11:$J$510,0))="Check details","Check details: "&amp;INDEX(Register!$I$11:$I$510,MATCH($H331,Register!$J$11:$J$510,0)),INDEX(Register!$G$11:$G$510,MATCH($H331,Register!$J$11:$J$510,0))))</f>
        <v/>
      </c>
      <c r="H331" s="28" t="str">
        <f aca="false">IF(325&gt;COUNT(Register!$J$11:$J$510),"",SMALL(Register!$J$11:$J$510,325))</f>
        <v/>
      </c>
    </row>
    <row r="332" customFormat="false" ht="15" hidden="false" customHeight="false" outlineLevel="0" collapsed="false">
      <c r="A332" s="25" t="str">
        <f aca="false">IF($H332="","",INDEX(Register!$A$11:$A$510,MATCH($H332,Register!$J$11:$J$510,0))&amp;"")</f>
        <v/>
      </c>
      <c r="B332" s="25" t="str">
        <f aca="false">IF($H332="","",INDEX(Register!$B$11:$B$510,MATCH($H332,Register!$J$11:$J$510,0))&amp;"")</f>
        <v/>
      </c>
      <c r="C332" s="25" t="str">
        <f aca="false">IF($H332="","",INDEX(Register!$C$11:$C$510,MATCH($H332,Register!$J$11:$J$510,0))&amp;"")</f>
        <v/>
      </c>
      <c r="D332" s="26" t="str">
        <f aca="false">IF($H332="","",IF(ISNUMBER(INDEX(Register!$D$11:$D$510,MATCH($H332,Register!$J$11:$J$510,0))),INDEX(Register!$D$11:$D$510,MATCH($H332,Register!$J$11:$J$510,0)),INDEX(Register!$D$11:$D$510,MATCH($H332,Register!$J$11:$J$510,0))&amp;""))</f>
        <v/>
      </c>
      <c r="E332" s="25" t="str">
        <f aca="false">IF($H332="","",IF(ISNUMBER(INDEX(Register!$E$11:$E$510,MATCH($H332,Register!$J$11:$J$510,0))),INDEX(Register!$E$11:$E$510,MATCH($H332,Register!$J$11:$J$510,0))&amp;" mo",INDEX(Register!$E$11:$E$510,MATCH($H332,Register!$J$11:$J$510,0))&amp;""))</f>
        <v/>
      </c>
      <c r="F332" s="26" t="str">
        <f aca="false">IF($H332="","",INDEX(Register!$F$11:$F$510,MATCH($H332,Register!$J$11:$J$510,0)))</f>
        <v/>
      </c>
      <c r="G332" s="27" t="str">
        <f aca="false">IF($H332="","",IF(INDEX(Register!$G$11:$G$510,MATCH($H332,Register!$J$11:$J$510,0))="Check details","Check details: "&amp;INDEX(Register!$I$11:$I$510,MATCH($H332,Register!$J$11:$J$510,0)),INDEX(Register!$G$11:$G$510,MATCH($H332,Register!$J$11:$J$510,0))))</f>
        <v/>
      </c>
      <c r="H332" s="28" t="str">
        <f aca="false">IF(326&gt;COUNT(Register!$J$11:$J$510),"",SMALL(Register!$J$11:$J$510,326))</f>
        <v/>
      </c>
    </row>
    <row r="333" customFormat="false" ht="15" hidden="false" customHeight="false" outlineLevel="0" collapsed="false">
      <c r="A333" s="25" t="str">
        <f aca="false">IF($H333="","",INDEX(Register!$A$11:$A$510,MATCH($H333,Register!$J$11:$J$510,0))&amp;"")</f>
        <v/>
      </c>
      <c r="B333" s="25" t="str">
        <f aca="false">IF($H333="","",INDEX(Register!$B$11:$B$510,MATCH($H333,Register!$J$11:$J$510,0))&amp;"")</f>
        <v/>
      </c>
      <c r="C333" s="25" t="str">
        <f aca="false">IF($H333="","",INDEX(Register!$C$11:$C$510,MATCH($H333,Register!$J$11:$J$510,0))&amp;"")</f>
        <v/>
      </c>
      <c r="D333" s="26" t="str">
        <f aca="false">IF($H333="","",IF(ISNUMBER(INDEX(Register!$D$11:$D$510,MATCH($H333,Register!$J$11:$J$510,0))),INDEX(Register!$D$11:$D$510,MATCH($H333,Register!$J$11:$J$510,0)),INDEX(Register!$D$11:$D$510,MATCH($H333,Register!$J$11:$J$510,0))&amp;""))</f>
        <v/>
      </c>
      <c r="E333" s="25" t="str">
        <f aca="false">IF($H333="","",IF(ISNUMBER(INDEX(Register!$E$11:$E$510,MATCH($H333,Register!$J$11:$J$510,0))),INDEX(Register!$E$11:$E$510,MATCH($H333,Register!$J$11:$J$510,0))&amp;" mo",INDEX(Register!$E$11:$E$510,MATCH($H333,Register!$J$11:$J$510,0))&amp;""))</f>
        <v/>
      </c>
      <c r="F333" s="26" t="str">
        <f aca="false">IF($H333="","",INDEX(Register!$F$11:$F$510,MATCH($H333,Register!$J$11:$J$510,0)))</f>
        <v/>
      </c>
      <c r="G333" s="27" t="str">
        <f aca="false">IF($H333="","",IF(INDEX(Register!$G$11:$G$510,MATCH($H333,Register!$J$11:$J$510,0))="Check details","Check details: "&amp;INDEX(Register!$I$11:$I$510,MATCH($H333,Register!$J$11:$J$510,0)),INDEX(Register!$G$11:$G$510,MATCH($H333,Register!$J$11:$J$510,0))))</f>
        <v/>
      </c>
      <c r="H333" s="28" t="str">
        <f aca="false">IF(327&gt;COUNT(Register!$J$11:$J$510),"",SMALL(Register!$J$11:$J$510,327))</f>
        <v/>
      </c>
    </row>
    <row r="334" customFormat="false" ht="15" hidden="false" customHeight="false" outlineLevel="0" collapsed="false">
      <c r="A334" s="25" t="str">
        <f aca="false">IF($H334="","",INDEX(Register!$A$11:$A$510,MATCH($H334,Register!$J$11:$J$510,0))&amp;"")</f>
        <v/>
      </c>
      <c r="B334" s="25" t="str">
        <f aca="false">IF($H334="","",INDEX(Register!$B$11:$B$510,MATCH($H334,Register!$J$11:$J$510,0))&amp;"")</f>
        <v/>
      </c>
      <c r="C334" s="25" t="str">
        <f aca="false">IF($H334="","",INDEX(Register!$C$11:$C$510,MATCH($H334,Register!$J$11:$J$510,0))&amp;"")</f>
        <v/>
      </c>
      <c r="D334" s="26" t="str">
        <f aca="false">IF($H334="","",IF(ISNUMBER(INDEX(Register!$D$11:$D$510,MATCH($H334,Register!$J$11:$J$510,0))),INDEX(Register!$D$11:$D$510,MATCH($H334,Register!$J$11:$J$510,0)),INDEX(Register!$D$11:$D$510,MATCH($H334,Register!$J$11:$J$510,0))&amp;""))</f>
        <v/>
      </c>
      <c r="E334" s="25" t="str">
        <f aca="false">IF($H334="","",IF(ISNUMBER(INDEX(Register!$E$11:$E$510,MATCH($H334,Register!$J$11:$J$510,0))),INDEX(Register!$E$11:$E$510,MATCH($H334,Register!$J$11:$J$510,0))&amp;" mo",INDEX(Register!$E$11:$E$510,MATCH($H334,Register!$J$11:$J$510,0))&amp;""))</f>
        <v/>
      </c>
      <c r="F334" s="26" t="str">
        <f aca="false">IF($H334="","",INDEX(Register!$F$11:$F$510,MATCH($H334,Register!$J$11:$J$510,0)))</f>
        <v/>
      </c>
      <c r="G334" s="27" t="str">
        <f aca="false">IF($H334="","",IF(INDEX(Register!$G$11:$G$510,MATCH($H334,Register!$J$11:$J$510,0))="Check details","Check details: "&amp;INDEX(Register!$I$11:$I$510,MATCH($H334,Register!$J$11:$J$510,0)),INDEX(Register!$G$11:$G$510,MATCH($H334,Register!$J$11:$J$510,0))))</f>
        <v/>
      </c>
      <c r="H334" s="28" t="str">
        <f aca="false">IF(328&gt;COUNT(Register!$J$11:$J$510),"",SMALL(Register!$J$11:$J$510,328))</f>
        <v/>
      </c>
    </row>
    <row r="335" customFormat="false" ht="15" hidden="false" customHeight="false" outlineLevel="0" collapsed="false">
      <c r="A335" s="25" t="str">
        <f aca="false">IF($H335="","",INDEX(Register!$A$11:$A$510,MATCH($H335,Register!$J$11:$J$510,0))&amp;"")</f>
        <v/>
      </c>
      <c r="B335" s="25" t="str">
        <f aca="false">IF($H335="","",INDEX(Register!$B$11:$B$510,MATCH($H335,Register!$J$11:$J$510,0))&amp;"")</f>
        <v/>
      </c>
      <c r="C335" s="25" t="str">
        <f aca="false">IF($H335="","",INDEX(Register!$C$11:$C$510,MATCH($H335,Register!$J$11:$J$510,0))&amp;"")</f>
        <v/>
      </c>
      <c r="D335" s="26" t="str">
        <f aca="false">IF($H335="","",IF(ISNUMBER(INDEX(Register!$D$11:$D$510,MATCH($H335,Register!$J$11:$J$510,0))),INDEX(Register!$D$11:$D$510,MATCH($H335,Register!$J$11:$J$510,0)),INDEX(Register!$D$11:$D$510,MATCH($H335,Register!$J$11:$J$510,0))&amp;""))</f>
        <v/>
      </c>
      <c r="E335" s="25" t="str">
        <f aca="false">IF($H335="","",IF(ISNUMBER(INDEX(Register!$E$11:$E$510,MATCH($H335,Register!$J$11:$J$510,0))),INDEX(Register!$E$11:$E$510,MATCH($H335,Register!$J$11:$J$510,0))&amp;" mo",INDEX(Register!$E$11:$E$510,MATCH($H335,Register!$J$11:$J$510,0))&amp;""))</f>
        <v/>
      </c>
      <c r="F335" s="26" t="str">
        <f aca="false">IF($H335="","",INDEX(Register!$F$11:$F$510,MATCH($H335,Register!$J$11:$J$510,0)))</f>
        <v/>
      </c>
      <c r="G335" s="27" t="str">
        <f aca="false">IF($H335="","",IF(INDEX(Register!$G$11:$G$510,MATCH($H335,Register!$J$11:$J$510,0))="Check details","Check details: "&amp;INDEX(Register!$I$11:$I$510,MATCH($H335,Register!$J$11:$J$510,0)),INDEX(Register!$G$11:$G$510,MATCH($H335,Register!$J$11:$J$510,0))))</f>
        <v/>
      </c>
      <c r="H335" s="28" t="str">
        <f aca="false">IF(329&gt;COUNT(Register!$J$11:$J$510),"",SMALL(Register!$J$11:$J$510,329))</f>
        <v/>
      </c>
    </row>
    <row r="336" customFormat="false" ht="15" hidden="false" customHeight="false" outlineLevel="0" collapsed="false">
      <c r="A336" s="25" t="str">
        <f aca="false">IF($H336="","",INDEX(Register!$A$11:$A$510,MATCH($H336,Register!$J$11:$J$510,0))&amp;"")</f>
        <v/>
      </c>
      <c r="B336" s="25" t="str">
        <f aca="false">IF($H336="","",INDEX(Register!$B$11:$B$510,MATCH($H336,Register!$J$11:$J$510,0))&amp;"")</f>
        <v/>
      </c>
      <c r="C336" s="25" t="str">
        <f aca="false">IF($H336="","",INDEX(Register!$C$11:$C$510,MATCH($H336,Register!$J$11:$J$510,0))&amp;"")</f>
        <v/>
      </c>
      <c r="D336" s="26" t="str">
        <f aca="false">IF($H336="","",IF(ISNUMBER(INDEX(Register!$D$11:$D$510,MATCH($H336,Register!$J$11:$J$510,0))),INDEX(Register!$D$11:$D$510,MATCH($H336,Register!$J$11:$J$510,0)),INDEX(Register!$D$11:$D$510,MATCH($H336,Register!$J$11:$J$510,0))&amp;""))</f>
        <v/>
      </c>
      <c r="E336" s="25" t="str">
        <f aca="false">IF($H336="","",IF(ISNUMBER(INDEX(Register!$E$11:$E$510,MATCH($H336,Register!$J$11:$J$510,0))),INDEX(Register!$E$11:$E$510,MATCH($H336,Register!$J$11:$J$510,0))&amp;" mo",INDEX(Register!$E$11:$E$510,MATCH($H336,Register!$J$11:$J$510,0))&amp;""))</f>
        <v/>
      </c>
      <c r="F336" s="26" t="str">
        <f aca="false">IF($H336="","",INDEX(Register!$F$11:$F$510,MATCH($H336,Register!$J$11:$J$510,0)))</f>
        <v/>
      </c>
      <c r="G336" s="27" t="str">
        <f aca="false">IF($H336="","",IF(INDEX(Register!$G$11:$G$510,MATCH($H336,Register!$J$11:$J$510,0))="Check details","Check details: "&amp;INDEX(Register!$I$11:$I$510,MATCH($H336,Register!$J$11:$J$510,0)),INDEX(Register!$G$11:$G$510,MATCH($H336,Register!$J$11:$J$510,0))))</f>
        <v/>
      </c>
      <c r="H336" s="28" t="str">
        <f aca="false">IF(330&gt;COUNT(Register!$J$11:$J$510),"",SMALL(Register!$J$11:$J$510,330))</f>
        <v/>
      </c>
    </row>
    <row r="337" customFormat="false" ht="15" hidden="false" customHeight="false" outlineLevel="0" collapsed="false">
      <c r="A337" s="25" t="str">
        <f aca="false">IF($H337="","",INDEX(Register!$A$11:$A$510,MATCH($H337,Register!$J$11:$J$510,0))&amp;"")</f>
        <v/>
      </c>
      <c r="B337" s="25" t="str">
        <f aca="false">IF($H337="","",INDEX(Register!$B$11:$B$510,MATCH($H337,Register!$J$11:$J$510,0))&amp;"")</f>
        <v/>
      </c>
      <c r="C337" s="25" t="str">
        <f aca="false">IF($H337="","",INDEX(Register!$C$11:$C$510,MATCH($H337,Register!$J$11:$J$510,0))&amp;"")</f>
        <v/>
      </c>
      <c r="D337" s="26" t="str">
        <f aca="false">IF($H337="","",IF(ISNUMBER(INDEX(Register!$D$11:$D$510,MATCH($H337,Register!$J$11:$J$510,0))),INDEX(Register!$D$11:$D$510,MATCH($H337,Register!$J$11:$J$510,0)),INDEX(Register!$D$11:$D$510,MATCH($H337,Register!$J$11:$J$510,0))&amp;""))</f>
        <v/>
      </c>
      <c r="E337" s="25" t="str">
        <f aca="false">IF($H337="","",IF(ISNUMBER(INDEX(Register!$E$11:$E$510,MATCH($H337,Register!$J$11:$J$510,0))),INDEX(Register!$E$11:$E$510,MATCH($H337,Register!$J$11:$J$510,0))&amp;" mo",INDEX(Register!$E$11:$E$510,MATCH($H337,Register!$J$11:$J$510,0))&amp;""))</f>
        <v/>
      </c>
      <c r="F337" s="26" t="str">
        <f aca="false">IF($H337="","",INDEX(Register!$F$11:$F$510,MATCH($H337,Register!$J$11:$J$510,0)))</f>
        <v/>
      </c>
      <c r="G337" s="27" t="str">
        <f aca="false">IF($H337="","",IF(INDEX(Register!$G$11:$G$510,MATCH($H337,Register!$J$11:$J$510,0))="Check details","Check details: "&amp;INDEX(Register!$I$11:$I$510,MATCH($H337,Register!$J$11:$J$510,0)),INDEX(Register!$G$11:$G$510,MATCH($H337,Register!$J$11:$J$510,0))))</f>
        <v/>
      </c>
      <c r="H337" s="28" t="str">
        <f aca="false">IF(331&gt;COUNT(Register!$J$11:$J$510),"",SMALL(Register!$J$11:$J$510,331))</f>
        <v/>
      </c>
    </row>
    <row r="338" customFormat="false" ht="15" hidden="false" customHeight="false" outlineLevel="0" collapsed="false">
      <c r="A338" s="25" t="str">
        <f aca="false">IF($H338="","",INDEX(Register!$A$11:$A$510,MATCH($H338,Register!$J$11:$J$510,0))&amp;"")</f>
        <v/>
      </c>
      <c r="B338" s="25" t="str">
        <f aca="false">IF($H338="","",INDEX(Register!$B$11:$B$510,MATCH($H338,Register!$J$11:$J$510,0))&amp;"")</f>
        <v/>
      </c>
      <c r="C338" s="25" t="str">
        <f aca="false">IF($H338="","",INDEX(Register!$C$11:$C$510,MATCH($H338,Register!$J$11:$J$510,0))&amp;"")</f>
        <v/>
      </c>
      <c r="D338" s="26" t="str">
        <f aca="false">IF($H338="","",IF(ISNUMBER(INDEX(Register!$D$11:$D$510,MATCH($H338,Register!$J$11:$J$510,0))),INDEX(Register!$D$11:$D$510,MATCH($H338,Register!$J$11:$J$510,0)),INDEX(Register!$D$11:$D$510,MATCH($H338,Register!$J$11:$J$510,0))&amp;""))</f>
        <v/>
      </c>
      <c r="E338" s="25" t="str">
        <f aca="false">IF($H338="","",IF(ISNUMBER(INDEX(Register!$E$11:$E$510,MATCH($H338,Register!$J$11:$J$510,0))),INDEX(Register!$E$11:$E$510,MATCH($H338,Register!$J$11:$J$510,0))&amp;" mo",INDEX(Register!$E$11:$E$510,MATCH($H338,Register!$J$11:$J$510,0))&amp;""))</f>
        <v/>
      </c>
      <c r="F338" s="26" t="str">
        <f aca="false">IF($H338="","",INDEX(Register!$F$11:$F$510,MATCH($H338,Register!$J$11:$J$510,0)))</f>
        <v/>
      </c>
      <c r="G338" s="27" t="str">
        <f aca="false">IF($H338="","",IF(INDEX(Register!$G$11:$G$510,MATCH($H338,Register!$J$11:$J$510,0))="Check details","Check details: "&amp;INDEX(Register!$I$11:$I$510,MATCH($H338,Register!$J$11:$J$510,0)),INDEX(Register!$G$11:$G$510,MATCH($H338,Register!$J$11:$J$510,0))))</f>
        <v/>
      </c>
      <c r="H338" s="28" t="str">
        <f aca="false">IF(332&gt;COUNT(Register!$J$11:$J$510),"",SMALL(Register!$J$11:$J$510,332))</f>
        <v/>
      </c>
    </row>
    <row r="339" customFormat="false" ht="15" hidden="false" customHeight="false" outlineLevel="0" collapsed="false">
      <c r="A339" s="25" t="str">
        <f aca="false">IF($H339="","",INDEX(Register!$A$11:$A$510,MATCH($H339,Register!$J$11:$J$510,0))&amp;"")</f>
        <v/>
      </c>
      <c r="B339" s="25" t="str">
        <f aca="false">IF($H339="","",INDEX(Register!$B$11:$B$510,MATCH($H339,Register!$J$11:$J$510,0))&amp;"")</f>
        <v/>
      </c>
      <c r="C339" s="25" t="str">
        <f aca="false">IF($H339="","",INDEX(Register!$C$11:$C$510,MATCH($H339,Register!$J$11:$J$510,0))&amp;"")</f>
        <v/>
      </c>
      <c r="D339" s="26" t="str">
        <f aca="false">IF($H339="","",IF(ISNUMBER(INDEX(Register!$D$11:$D$510,MATCH($H339,Register!$J$11:$J$510,0))),INDEX(Register!$D$11:$D$510,MATCH($H339,Register!$J$11:$J$510,0)),INDEX(Register!$D$11:$D$510,MATCH($H339,Register!$J$11:$J$510,0))&amp;""))</f>
        <v/>
      </c>
      <c r="E339" s="25" t="str">
        <f aca="false">IF($H339="","",IF(ISNUMBER(INDEX(Register!$E$11:$E$510,MATCH($H339,Register!$J$11:$J$510,0))),INDEX(Register!$E$11:$E$510,MATCH($H339,Register!$J$11:$J$510,0))&amp;" mo",INDEX(Register!$E$11:$E$510,MATCH($H339,Register!$J$11:$J$510,0))&amp;""))</f>
        <v/>
      </c>
      <c r="F339" s="26" t="str">
        <f aca="false">IF($H339="","",INDEX(Register!$F$11:$F$510,MATCH($H339,Register!$J$11:$J$510,0)))</f>
        <v/>
      </c>
      <c r="G339" s="27" t="str">
        <f aca="false">IF($H339="","",IF(INDEX(Register!$G$11:$G$510,MATCH($H339,Register!$J$11:$J$510,0))="Check details","Check details: "&amp;INDEX(Register!$I$11:$I$510,MATCH($H339,Register!$J$11:$J$510,0)),INDEX(Register!$G$11:$G$510,MATCH($H339,Register!$J$11:$J$510,0))))</f>
        <v/>
      </c>
      <c r="H339" s="28" t="str">
        <f aca="false">IF(333&gt;COUNT(Register!$J$11:$J$510),"",SMALL(Register!$J$11:$J$510,333))</f>
        <v/>
      </c>
    </row>
    <row r="340" customFormat="false" ht="15" hidden="false" customHeight="false" outlineLevel="0" collapsed="false">
      <c r="A340" s="25" t="str">
        <f aca="false">IF($H340="","",INDEX(Register!$A$11:$A$510,MATCH($H340,Register!$J$11:$J$510,0))&amp;"")</f>
        <v/>
      </c>
      <c r="B340" s="25" t="str">
        <f aca="false">IF($H340="","",INDEX(Register!$B$11:$B$510,MATCH($H340,Register!$J$11:$J$510,0))&amp;"")</f>
        <v/>
      </c>
      <c r="C340" s="25" t="str">
        <f aca="false">IF($H340="","",INDEX(Register!$C$11:$C$510,MATCH($H340,Register!$J$11:$J$510,0))&amp;"")</f>
        <v/>
      </c>
      <c r="D340" s="26" t="str">
        <f aca="false">IF($H340="","",IF(ISNUMBER(INDEX(Register!$D$11:$D$510,MATCH($H340,Register!$J$11:$J$510,0))),INDEX(Register!$D$11:$D$510,MATCH($H340,Register!$J$11:$J$510,0)),INDEX(Register!$D$11:$D$510,MATCH($H340,Register!$J$11:$J$510,0))&amp;""))</f>
        <v/>
      </c>
      <c r="E340" s="25" t="str">
        <f aca="false">IF($H340="","",IF(ISNUMBER(INDEX(Register!$E$11:$E$510,MATCH($H340,Register!$J$11:$J$510,0))),INDEX(Register!$E$11:$E$510,MATCH($H340,Register!$J$11:$J$510,0))&amp;" mo",INDEX(Register!$E$11:$E$510,MATCH($H340,Register!$J$11:$J$510,0))&amp;""))</f>
        <v/>
      </c>
      <c r="F340" s="26" t="str">
        <f aca="false">IF($H340="","",INDEX(Register!$F$11:$F$510,MATCH($H340,Register!$J$11:$J$510,0)))</f>
        <v/>
      </c>
      <c r="G340" s="27" t="str">
        <f aca="false">IF($H340="","",IF(INDEX(Register!$G$11:$G$510,MATCH($H340,Register!$J$11:$J$510,0))="Check details","Check details: "&amp;INDEX(Register!$I$11:$I$510,MATCH($H340,Register!$J$11:$J$510,0)),INDEX(Register!$G$11:$G$510,MATCH($H340,Register!$J$11:$J$510,0))))</f>
        <v/>
      </c>
      <c r="H340" s="28" t="str">
        <f aca="false">IF(334&gt;COUNT(Register!$J$11:$J$510),"",SMALL(Register!$J$11:$J$510,334))</f>
        <v/>
      </c>
    </row>
    <row r="341" customFormat="false" ht="15" hidden="false" customHeight="false" outlineLevel="0" collapsed="false">
      <c r="A341" s="25" t="str">
        <f aca="false">IF($H341="","",INDEX(Register!$A$11:$A$510,MATCH($H341,Register!$J$11:$J$510,0))&amp;"")</f>
        <v/>
      </c>
      <c r="B341" s="25" t="str">
        <f aca="false">IF($H341="","",INDEX(Register!$B$11:$B$510,MATCH($H341,Register!$J$11:$J$510,0))&amp;"")</f>
        <v/>
      </c>
      <c r="C341" s="25" t="str">
        <f aca="false">IF($H341="","",INDEX(Register!$C$11:$C$510,MATCH($H341,Register!$J$11:$J$510,0))&amp;"")</f>
        <v/>
      </c>
      <c r="D341" s="26" t="str">
        <f aca="false">IF($H341="","",IF(ISNUMBER(INDEX(Register!$D$11:$D$510,MATCH($H341,Register!$J$11:$J$510,0))),INDEX(Register!$D$11:$D$510,MATCH($H341,Register!$J$11:$J$510,0)),INDEX(Register!$D$11:$D$510,MATCH($H341,Register!$J$11:$J$510,0))&amp;""))</f>
        <v/>
      </c>
      <c r="E341" s="25" t="str">
        <f aca="false">IF($H341="","",IF(ISNUMBER(INDEX(Register!$E$11:$E$510,MATCH($H341,Register!$J$11:$J$510,0))),INDEX(Register!$E$11:$E$510,MATCH($H341,Register!$J$11:$J$510,0))&amp;" mo",INDEX(Register!$E$11:$E$510,MATCH($H341,Register!$J$11:$J$510,0))&amp;""))</f>
        <v/>
      </c>
      <c r="F341" s="26" t="str">
        <f aca="false">IF($H341="","",INDEX(Register!$F$11:$F$510,MATCH($H341,Register!$J$11:$J$510,0)))</f>
        <v/>
      </c>
      <c r="G341" s="27" t="str">
        <f aca="false">IF($H341="","",IF(INDEX(Register!$G$11:$G$510,MATCH($H341,Register!$J$11:$J$510,0))="Check details","Check details: "&amp;INDEX(Register!$I$11:$I$510,MATCH($H341,Register!$J$11:$J$510,0)),INDEX(Register!$G$11:$G$510,MATCH($H341,Register!$J$11:$J$510,0))))</f>
        <v/>
      </c>
      <c r="H341" s="28" t="str">
        <f aca="false">IF(335&gt;COUNT(Register!$J$11:$J$510),"",SMALL(Register!$J$11:$J$510,335))</f>
        <v/>
      </c>
    </row>
    <row r="342" customFormat="false" ht="15" hidden="false" customHeight="false" outlineLevel="0" collapsed="false">
      <c r="A342" s="25" t="str">
        <f aca="false">IF($H342="","",INDEX(Register!$A$11:$A$510,MATCH($H342,Register!$J$11:$J$510,0))&amp;"")</f>
        <v/>
      </c>
      <c r="B342" s="25" t="str">
        <f aca="false">IF($H342="","",INDEX(Register!$B$11:$B$510,MATCH($H342,Register!$J$11:$J$510,0))&amp;"")</f>
        <v/>
      </c>
      <c r="C342" s="25" t="str">
        <f aca="false">IF($H342="","",INDEX(Register!$C$11:$C$510,MATCH($H342,Register!$J$11:$J$510,0))&amp;"")</f>
        <v/>
      </c>
      <c r="D342" s="26" t="str">
        <f aca="false">IF($H342="","",IF(ISNUMBER(INDEX(Register!$D$11:$D$510,MATCH($H342,Register!$J$11:$J$510,0))),INDEX(Register!$D$11:$D$510,MATCH($H342,Register!$J$11:$J$510,0)),INDEX(Register!$D$11:$D$510,MATCH($H342,Register!$J$11:$J$510,0))&amp;""))</f>
        <v/>
      </c>
      <c r="E342" s="25" t="str">
        <f aca="false">IF($H342="","",IF(ISNUMBER(INDEX(Register!$E$11:$E$510,MATCH($H342,Register!$J$11:$J$510,0))),INDEX(Register!$E$11:$E$510,MATCH($H342,Register!$J$11:$J$510,0))&amp;" mo",INDEX(Register!$E$11:$E$510,MATCH($H342,Register!$J$11:$J$510,0))&amp;""))</f>
        <v/>
      </c>
      <c r="F342" s="26" t="str">
        <f aca="false">IF($H342="","",INDEX(Register!$F$11:$F$510,MATCH($H342,Register!$J$11:$J$510,0)))</f>
        <v/>
      </c>
      <c r="G342" s="27" t="str">
        <f aca="false">IF($H342="","",IF(INDEX(Register!$G$11:$G$510,MATCH($H342,Register!$J$11:$J$510,0))="Check details","Check details: "&amp;INDEX(Register!$I$11:$I$510,MATCH($H342,Register!$J$11:$J$510,0)),INDEX(Register!$G$11:$G$510,MATCH($H342,Register!$J$11:$J$510,0))))</f>
        <v/>
      </c>
      <c r="H342" s="28" t="str">
        <f aca="false">IF(336&gt;COUNT(Register!$J$11:$J$510),"",SMALL(Register!$J$11:$J$510,336))</f>
        <v/>
      </c>
    </row>
    <row r="343" customFormat="false" ht="15" hidden="false" customHeight="false" outlineLevel="0" collapsed="false">
      <c r="A343" s="25" t="str">
        <f aca="false">IF($H343="","",INDEX(Register!$A$11:$A$510,MATCH($H343,Register!$J$11:$J$510,0))&amp;"")</f>
        <v/>
      </c>
      <c r="B343" s="25" t="str">
        <f aca="false">IF($H343="","",INDEX(Register!$B$11:$B$510,MATCH($H343,Register!$J$11:$J$510,0))&amp;"")</f>
        <v/>
      </c>
      <c r="C343" s="25" t="str">
        <f aca="false">IF($H343="","",INDEX(Register!$C$11:$C$510,MATCH($H343,Register!$J$11:$J$510,0))&amp;"")</f>
        <v/>
      </c>
      <c r="D343" s="26" t="str">
        <f aca="false">IF($H343="","",IF(ISNUMBER(INDEX(Register!$D$11:$D$510,MATCH($H343,Register!$J$11:$J$510,0))),INDEX(Register!$D$11:$D$510,MATCH($H343,Register!$J$11:$J$510,0)),INDEX(Register!$D$11:$D$510,MATCH($H343,Register!$J$11:$J$510,0))&amp;""))</f>
        <v/>
      </c>
      <c r="E343" s="25" t="str">
        <f aca="false">IF($H343="","",IF(ISNUMBER(INDEX(Register!$E$11:$E$510,MATCH($H343,Register!$J$11:$J$510,0))),INDEX(Register!$E$11:$E$510,MATCH($H343,Register!$J$11:$J$510,0))&amp;" mo",INDEX(Register!$E$11:$E$510,MATCH($H343,Register!$J$11:$J$510,0))&amp;""))</f>
        <v/>
      </c>
      <c r="F343" s="26" t="str">
        <f aca="false">IF($H343="","",INDEX(Register!$F$11:$F$510,MATCH($H343,Register!$J$11:$J$510,0)))</f>
        <v/>
      </c>
      <c r="G343" s="27" t="str">
        <f aca="false">IF($H343="","",IF(INDEX(Register!$G$11:$G$510,MATCH($H343,Register!$J$11:$J$510,0))="Check details","Check details: "&amp;INDEX(Register!$I$11:$I$510,MATCH($H343,Register!$J$11:$J$510,0)),INDEX(Register!$G$11:$G$510,MATCH($H343,Register!$J$11:$J$510,0))))</f>
        <v/>
      </c>
      <c r="H343" s="28" t="str">
        <f aca="false">IF(337&gt;COUNT(Register!$J$11:$J$510),"",SMALL(Register!$J$11:$J$510,337))</f>
        <v/>
      </c>
    </row>
    <row r="344" customFormat="false" ht="15" hidden="false" customHeight="false" outlineLevel="0" collapsed="false">
      <c r="A344" s="25" t="str">
        <f aca="false">IF($H344="","",INDEX(Register!$A$11:$A$510,MATCH($H344,Register!$J$11:$J$510,0))&amp;"")</f>
        <v/>
      </c>
      <c r="B344" s="25" t="str">
        <f aca="false">IF($H344="","",INDEX(Register!$B$11:$B$510,MATCH($H344,Register!$J$11:$J$510,0))&amp;"")</f>
        <v/>
      </c>
      <c r="C344" s="25" t="str">
        <f aca="false">IF($H344="","",INDEX(Register!$C$11:$C$510,MATCH($H344,Register!$J$11:$J$510,0))&amp;"")</f>
        <v/>
      </c>
      <c r="D344" s="26" t="str">
        <f aca="false">IF($H344="","",IF(ISNUMBER(INDEX(Register!$D$11:$D$510,MATCH($H344,Register!$J$11:$J$510,0))),INDEX(Register!$D$11:$D$510,MATCH($H344,Register!$J$11:$J$510,0)),INDEX(Register!$D$11:$D$510,MATCH($H344,Register!$J$11:$J$510,0))&amp;""))</f>
        <v/>
      </c>
      <c r="E344" s="25" t="str">
        <f aca="false">IF($H344="","",IF(ISNUMBER(INDEX(Register!$E$11:$E$510,MATCH($H344,Register!$J$11:$J$510,0))),INDEX(Register!$E$11:$E$510,MATCH($H344,Register!$J$11:$J$510,0))&amp;" mo",INDEX(Register!$E$11:$E$510,MATCH($H344,Register!$J$11:$J$510,0))&amp;""))</f>
        <v/>
      </c>
      <c r="F344" s="26" t="str">
        <f aca="false">IF($H344="","",INDEX(Register!$F$11:$F$510,MATCH($H344,Register!$J$11:$J$510,0)))</f>
        <v/>
      </c>
      <c r="G344" s="27" t="str">
        <f aca="false">IF($H344="","",IF(INDEX(Register!$G$11:$G$510,MATCH($H344,Register!$J$11:$J$510,0))="Check details","Check details: "&amp;INDEX(Register!$I$11:$I$510,MATCH($H344,Register!$J$11:$J$510,0)),INDEX(Register!$G$11:$G$510,MATCH($H344,Register!$J$11:$J$510,0))))</f>
        <v/>
      </c>
      <c r="H344" s="28" t="str">
        <f aca="false">IF(338&gt;COUNT(Register!$J$11:$J$510),"",SMALL(Register!$J$11:$J$510,338))</f>
        <v/>
      </c>
    </row>
    <row r="345" customFormat="false" ht="15" hidden="false" customHeight="false" outlineLevel="0" collapsed="false">
      <c r="A345" s="25" t="str">
        <f aca="false">IF($H345="","",INDEX(Register!$A$11:$A$510,MATCH($H345,Register!$J$11:$J$510,0))&amp;"")</f>
        <v/>
      </c>
      <c r="B345" s="25" t="str">
        <f aca="false">IF($H345="","",INDEX(Register!$B$11:$B$510,MATCH($H345,Register!$J$11:$J$510,0))&amp;"")</f>
        <v/>
      </c>
      <c r="C345" s="25" t="str">
        <f aca="false">IF($H345="","",INDEX(Register!$C$11:$C$510,MATCH($H345,Register!$J$11:$J$510,0))&amp;"")</f>
        <v/>
      </c>
      <c r="D345" s="26" t="str">
        <f aca="false">IF($H345="","",IF(ISNUMBER(INDEX(Register!$D$11:$D$510,MATCH($H345,Register!$J$11:$J$510,0))),INDEX(Register!$D$11:$D$510,MATCH($H345,Register!$J$11:$J$510,0)),INDEX(Register!$D$11:$D$510,MATCH($H345,Register!$J$11:$J$510,0))&amp;""))</f>
        <v/>
      </c>
      <c r="E345" s="25" t="str">
        <f aca="false">IF($H345="","",IF(ISNUMBER(INDEX(Register!$E$11:$E$510,MATCH($H345,Register!$J$11:$J$510,0))),INDEX(Register!$E$11:$E$510,MATCH($H345,Register!$J$11:$J$510,0))&amp;" mo",INDEX(Register!$E$11:$E$510,MATCH($H345,Register!$J$11:$J$510,0))&amp;""))</f>
        <v/>
      </c>
      <c r="F345" s="26" t="str">
        <f aca="false">IF($H345="","",INDEX(Register!$F$11:$F$510,MATCH($H345,Register!$J$11:$J$510,0)))</f>
        <v/>
      </c>
      <c r="G345" s="27" t="str">
        <f aca="false">IF($H345="","",IF(INDEX(Register!$G$11:$G$510,MATCH($H345,Register!$J$11:$J$510,0))="Check details","Check details: "&amp;INDEX(Register!$I$11:$I$510,MATCH($H345,Register!$J$11:$J$510,0)),INDEX(Register!$G$11:$G$510,MATCH($H345,Register!$J$11:$J$510,0))))</f>
        <v/>
      </c>
      <c r="H345" s="28" t="str">
        <f aca="false">IF(339&gt;COUNT(Register!$J$11:$J$510),"",SMALL(Register!$J$11:$J$510,339))</f>
        <v/>
      </c>
    </row>
    <row r="346" customFormat="false" ht="15" hidden="false" customHeight="false" outlineLevel="0" collapsed="false">
      <c r="A346" s="25" t="str">
        <f aca="false">IF($H346="","",INDEX(Register!$A$11:$A$510,MATCH($H346,Register!$J$11:$J$510,0))&amp;"")</f>
        <v/>
      </c>
      <c r="B346" s="25" t="str">
        <f aca="false">IF($H346="","",INDEX(Register!$B$11:$B$510,MATCH($H346,Register!$J$11:$J$510,0))&amp;"")</f>
        <v/>
      </c>
      <c r="C346" s="25" t="str">
        <f aca="false">IF($H346="","",INDEX(Register!$C$11:$C$510,MATCH($H346,Register!$J$11:$J$510,0))&amp;"")</f>
        <v/>
      </c>
      <c r="D346" s="26" t="str">
        <f aca="false">IF($H346="","",IF(ISNUMBER(INDEX(Register!$D$11:$D$510,MATCH($H346,Register!$J$11:$J$510,0))),INDEX(Register!$D$11:$D$510,MATCH($H346,Register!$J$11:$J$510,0)),INDEX(Register!$D$11:$D$510,MATCH($H346,Register!$J$11:$J$510,0))&amp;""))</f>
        <v/>
      </c>
      <c r="E346" s="25" t="str">
        <f aca="false">IF($H346="","",IF(ISNUMBER(INDEX(Register!$E$11:$E$510,MATCH($H346,Register!$J$11:$J$510,0))),INDEX(Register!$E$11:$E$510,MATCH($H346,Register!$J$11:$J$510,0))&amp;" mo",INDEX(Register!$E$11:$E$510,MATCH($H346,Register!$J$11:$J$510,0))&amp;""))</f>
        <v/>
      </c>
      <c r="F346" s="26" t="str">
        <f aca="false">IF($H346="","",INDEX(Register!$F$11:$F$510,MATCH($H346,Register!$J$11:$J$510,0)))</f>
        <v/>
      </c>
      <c r="G346" s="27" t="str">
        <f aca="false">IF($H346="","",IF(INDEX(Register!$G$11:$G$510,MATCH($H346,Register!$J$11:$J$510,0))="Check details","Check details: "&amp;INDEX(Register!$I$11:$I$510,MATCH($H346,Register!$J$11:$J$510,0)),INDEX(Register!$G$11:$G$510,MATCH($H346,Register!$J$11:$J$510,0))))</f>
        <v/>
      </c>
      <c r="H346" s="28" t="str">
        <f aca="false">IF(340&gt;COUNT(Register!$J$11:$J$510),"",SMALL(Register!$J$11:$J$510,340))</f>
        <v/>
      </c>
    </row>
    <row r="347" customFormat="false" ht="15" hidden="false" customHeight="false" outlineLevel="0" collapsed="false">
      <c r="A347" s="25" t="str">
        <f aca="false">IF($H347="","",INDEX(Register!$A$11:$A$510,MATCH($H347,Register!$J$11:$J$510,0))&amp;"")</f>
        <v/>
      </c>
      <c r="B347" s="25" t="str">
        <f aca="false">IF($H347="","",INDEX(Register!$B$11:$B$510,MATCH($H347,Register!$J$11:$J$510,0))&amp;"")</f>
        <v/>
      </c>
      <c r="C347" s="25" t="str">
        <f aca="false">IF($H347="","",INDEX(Register!$C$11:$C$510,MATCH($H347,Register!$J$11:$J$510,0))&amp;"")</f>
        <v/>
      </c>
      <c r="D347" s="26" t="str">
        <f aca="false">IF($H347="","",IF(ISNUMBER(INDEX(Register!$D$11:$D$510,MATCH($H347,Register!$J$11:$J$510,0))),INDEX(Register!$D$11:$D$510,MATCH($H347,Register!$J$11:$J$510,0)),INDEX(Register!$D$11:$D$510,MATCH($H347,Register!$J$11:$J$510,0))&amp;""))</f>
        <v/>
      </c>
      <c r="E347" s="25" t="str">
        <f aca="false">IF($H347="","",IF(ISNUMBER(INDEX(Register!$E$11:$E$510,MATCH($H347,Register!$J$11:$J$510,0))),INDEX(Register!$E$11:$E$510,MATCH($H347,Register!$J$11:$J$510,0))&amp;" mo",INDEX(Register!$E$11:$E$510,MATCH($H347,Register!$J$11:$J$510,0))&amp;""))</f>
        <v/>
      </c>
      <c r="F347" s="26" t="str">
        <f aca="false">IF($H347="","",INDEX(Register!$F$11:$F$510,MATCH($H347,Register!$J$11:$J$510,0)))</f>
        <v/>
      </c>
      <c r="G347" s="27" t="str">
        <f aca="false">IF($H347="","",IF(INDEX(Register!$G$11:$G$510,MATCH($H347,Register!$J$11:$J$510,0))="Check details","Check details: "&amp;INDEX(Register!$I$11:$I$510,MATCH($H347,Register!$J$11:$J$510,0)),INDEX(Register!$G$11:$G$510,MATCH($H347,Register!$J$11:$J$510,0))))</f>
        <v/>
      </c>
      <c r="H347" s="28" t="str">
        <f aca="false">IF(341&gt;COUNT(Register!$J$11:$J$510),"",SMALL(Register!$J$11:$J$510,341))</f>
        <v/>
      </c>
    </row>
    <row r="348" customFormat="false" ht="15" hidden="false" customHeight="false" outlineLevel="0" collapsed="false">
      <c r="A348" s="25" t="str">
        <f aca="false">IF($H348="","",INDEX(Register!$A$11:$A$510,MATCH($H348,Register!$J$11:$J$510,0))&amp;"")</f>
        <v/>
      </c>
      <c r="B348" s="25" t="str">
        <f aca="false">IF($H348="","",INDEX(Register!$B$11:$B$510,MATCH($H348,Register!$J$11:$J$510,0))&amp;"")</f>
        <v/>
      </c>
      <c r="C348" s="25" t="str">
        <f aca="false">IF($H348="","",INDEX(Register!$C$11:$C$510,MATCH($H348,Register!$J$11:$J$510,0))&amp;"")</f>
        <v/>
      </c>
      <c r="D348" s="26" t="str">
        <f aca="false">IF($H348="","",IF(ISNUMBER(INDEX(Register!$D$11:$D$510,MATCH($H348,Register!$J$11:$J$510,0))),INDEX(Register!$D$11:$D$510,MATCH($H348,Register!$J$11:$J$510,0)),INDEX(Register!$D$11:$D$510,MATCH($H348,Register!$J$11:$J$510,0))&amp;""))</f>
        <v/>
      </c>
      <c r="E348" s="25" t="str">
        <f aca="false">IF($H348="","",IF(ISNUMBER(INDEX(Register!$E$11:$E$510,MATCH($H348,Register!$J$11:$J$510,0))),INDEX(Register!$E$11:$E$510,MATCH($H348,Register!$J$11:$J$510,0))&amp;" mo",INDEX(Register!$E$11:$E$510,MATCH($H348,Register!$J$11:$J$510,0))&amp;""))</f>
        <v/>
      </c>
      <c r="F348" s="26" t="str">
        <f aca="false">IF($H348="","",INDEX(Register!$F$11:$F$510,MATCH($H348,Register!$J$11:$J$510,0)))</f>
        <v/>
      </c>
      <c r="G348" s="27" t="str">
        <f aca="false">IF($H348="","",IF(INDEX(Register!$G$11:$G$510,MATCH($H348,Register!$J$11:$J$510,0))="Check details","Check details: "&amp;INDEX(Register!$I$11:$I$510,MATCH($H348,Register!$J$11:$J$510,0)),INDEX(Register!$G$11:$G$510,MATCH($H348,Register!$J$11:$J$510,0))))</f>
        <v/>
      </c>
      <c r="H348" s="28" t="str">
        <f aca="false">IF(342&gt;COUNT(Register!$J$11:$J$510),"",SMALL(Register!$J$11:$J$510,342))</f>
        <v/>
      </c>
    </row>
    <row r="349" customFormat="false" ht="15" hidden="false" customHeight="false" outlineLevel="0" collapsed="false">
      <c r="A349" s="25" t="str">
        <f aca="false">IF($H349="","",INDEX(Register!$A$11:$A$510,MATCH($H349,Register!$J$11:$J$510,0))&amp;"")</f>
        <v/>
      </c>
      <c r="B349" s="25" t="str">
        <f aca="false">IF($H349="","",INDEX(Register!$B$11:$B$510,MATCH($H349,Register!$J$11:$J$510,0))&amp;"")</f>
        <v/>
      </c>
      <c r="C349" s="25" t="str">
        <f aca="false">IF($H349="","",INDEX(Register!$C$11:$C$510,MATCH($H349,Register!$J$11:$J$510,0))&amp;"")</f>
        <v/>
      </c>
      <c r="D349" s="26" t="str">
        <f aca="false">IF($H349="","",IF(ISNUMBER(INDEX(Register!$D$11:$D$510,MATCH($H349,Register!$J$11:$J$510,0))),INDEX(Register!$D$11:$D$510,MATCH($H349,Register!$J$11:$J$510,0)),INDEX(Register!$D$11:$D$510,MATCH($H349,Register!$J$11:$J$510,0))&amp;""))</f>
        <v/>
      </c>
      <c r="E349" s="25" t="str">
        <f aca="false">IF($H349="","",IF(ISNUMBER(INDEX(Register!$E$11:$E$510,MATCH($H349,Register!$J$11:$J$510,0))),INDEX(Register!$E$11:$E$510,MATCH($H349,Register!$J$11:$J$510,0))&amp;" mo",INDEX(Register!$E$11:$E$510,MATCH($H349,Register!$J$11:$J$510,0))&amp;""))</f>
        <v/>
      </c>
      <c r="F349" s="26" t="str">
        <f aca="false">IF($H349="","",INDEX(Register!$F$11:$F$510,MATCH($H349,Register!$J$11:$J$510,0)))</f>
        <v/>
      </c>
      <c r="G349" s="27" t="str">
        <f aca="false">IF($H349="","",IF(INDEX(Register!$G$11:$G$510,MATCH($H349,Register!$J$11:$J$510,0))="Check details","Check details: "&amp;INDEX(Register!$I$11:$I$510,MATCH($H349,Register!$J$11:$J$510,0)),INDEX(Register!$G$11:$G$510,MATCH($H349,Register!$J$11:$J$510,0))))</f>
        <v/>
      </c>
      <c r="H349" s="28" t="str">
        <f aca="false">IF(343&gt;COUNT(Register!$J$11:$J$510),"",SMALL(Register!$J$11:$J$510,343))</f>
        <v/>
      </c>
    </row>
    <row r="350" customFormat="false" ht="15" hidden="false" customHeight="false" outlineLevel="0" collapsed="false">
      <c r="A350" s="25" t="str">
        <f aca="false">IF($H350="","",INDEX(Register!$A$11:$A$510,MATCH($H350,Register!$J$11:$J$510,0))&amp;"")</f>
        <v/>
      </c>
      <c r="B350" s="25" t="str">
        <f aca="false">IF($H350="","",INDEX(Register!$B$11:$B$510,MATCH($H350,Register!$J$11:$J$510,0))&amp;"")</f>
        <v/>
      </c>
      <c r="C350" s="25" t="str">
        <f aca="false">IF($H350="","",INDEX(Register!$C$11:$C$510,MATCH($H350,Register!$J$11:$J$510,0))&amp;"")</f>
        <v/>
      </c>
      <c r="D350" s="26" t="str">
        <f aca="false">IF($H350="","",IF(ISNUMBER(INDEX(Register!$D$11:$D$510,MATCH($H350,Register!$J$11:$J$510,0))),INDEX(Register!$D$11:$D$510,MATCH($H350,Register!$J$11:$J$510,0)),INDEX(Register!$D$11:$D$510,MATCH($H350,Register!$J$11:$J$510,0))&amp;""))</f>
        <v/>
      </c>
      <c r="E350" s="25" t="str">
        <f aca="false">IF($H350="","",IF(ISNUMBER(INDEX(Register!$E$11:$E$510,MATCH($H350,Register!$J$11:$J$510,0))),INDEX(Register!$E$11:$E$510,MATCH($H350,Register!$J$11:$J$510,0))&amp;" mo",INDEX(Register!$E$11:$E$510,MATCH($H350,Register!$J$11:$J$510,0))&amp;""))</f>
        <v/>
      </c>
      <c r="F350" s="26" t="str">
        <f aca="false">IF($H350="","",INDEX(Register!$F$11:$F$510,MATCH($H350,Register!$J$11:$J$510,0)))</f>
        <v/>
      </c>
      <c r="G350" s="27" t="str">
        <f aca="false">IF($H350="","",IF(INDEX(Register!$G$11:$G$510,MATCH($H350,Register!$J$11:$J$510,0))="Check details","Check details: "&amp;INDEX(Register!$I$11:$I$510,MATCH($H350,Register!$J$11:$J$510,0)),INDEX(Register!$G$11:$G$510,MATCH($H350,Register!$J$11:$J$510,0))))</f>
        <v/>
      </c>
      <c r="H350" s="28" t="str">
        <f aca="false">IF(344&gt;COUNT(Register!$J$11:$J$510),"",SMALL(Register!$J$11:$J$510,344))</f>
        <v/>
      </c>
    </row>
    <row r="351" customFormat="false" ht="15" hidden="false" customHeight="false" outlineLevel="0" collapsed="false">
      <c r="A351" s="25" t="str">
        <f aca="false">IF($H351="","",INDEX(Register!$A$11:$A$510,MATCH($H351,Register!$J$11:$J$510,0))&amp;"")</f>
        <v/>
      </c>
      <c r="B351" s="25" t="str">
        <f aca="false">IF($H351="","",INDEX(Register!$B$11:$B$510,MATCH($H351,Register!$J$11:$J$510,0))&amp;"")</f>
        <v/>
      </c>
      <c r="C351" s="25" t="str">
        <f aca="false">IF($H351="","",INDEX(Register!$C$11:$C$510,MATCH($H351,Register!$J$11:$J$510,0))&amp;"")</f>
        <v/>
      </c>
      <c r="D351" s="26" t="str">
        <f aca="false">IF($H351="","",IF(ISNUMBER(INDEX(Register!$D$11:$D$510,MATCH($H351,Register!$J$11:$J$510,0))),INDEX(Register!$D$11:$D$510,MATCH($H351,Register!$J$11:$J$510,0)),INDEX(Register!$D$11:$D$510,MATCH($H351,Register!$J$11:$J$510,0))&amp;""))</f>
        <v/>
      </c>
      <c r="E351" s="25" t="str">
        <f aca="false">IF($H351="","",IF(ISNUMBER(INDEX(Register!$E$11:$E$510,MATCH($H351,Register!$J$11:$J$510,0))),INDEX(Register!$E$11:$E$510,MATCH($H351,Register!$J$11:$J$510,0))&amp;" mo",INDEX(Register!$E$11:$E$510,MATCH($H351,Register!$J$11:$J$510,0))&amp;""))</f>
        <v/>
      </c>
      <c r="F351" s="26" t="str">
        <f aca="false">IF($H351="","",INDEX(Register!$F$11:$F$510,MATCH($H351,Register!$J$11:$J$510,0)))</f>
        <v/>
      </c>
      <c r="G351" s="27" t="str">
        <f aca="false">IF($H351="","",IF(INDEX(Register!$G$11:$G$510,MATCH($H351,Register!$J$11:$J$510,0))="Check details","Check details: "&amp;INDEX(Register!$I$11:$I$510,MATCH($H351,Register!$J$11:$J$510,0)),INDEX(Register!$G$11:$G$510,MATCH($H351,Register!$J$11:$J$510,0))))</f>
        <v/>
      </c>
      <c r="H351" s="28" t="str">
        <f aca="false">IF(345&gt;COUNT(Register!$J$11:$J$510),"",SMALL(Register!$J$11:$J$510,345))</f>
        <v/>
      </c>
    </row>
    <row r="352" customFormat="false" ht="15" hidden="false" customHeight="false" outlineLevel="0" collapsed="false">
      <c r="A352" s="25" t="str">
        <f aca="false">IF($H352="","",INDEX(Register!$A$11:$A$510,MATCH($H352,Register!$J$11:$J$510,0))&amp;"")</f>
        <v/>
      </c>
      <c r="B352" s="25" t="str">
        <f aca="false">IF($H352="","",INDEX(Register!$B$11:$B$510,MATCH($H352,Register!$J$11:$J$510,0))&amp;"")</f>
        <v/>
      </c>
      <c r="C352" s="25" t="str">
        <f aca="false">IF($H352="","",INDEX(Register!$C$11:$C$510,MATCH($H352,Register!$J$11:$J$510,0))&amp;"")</f>
        <v/>
      </c>
      <c r="D352" s="26" t="str">
        <f aca="false">IF($H352="","",IF(ISNUMBER(INDEX(Register!$D$11:$D$510,MATCH($H352,Register!$J$11:$J$510,0))),INDEX(Register!$D$11:$D$510,MATCH($H352,Register!$J$11:$J$510,0)),INDEX(Register!$D$11:$D$510,MATCH($H352,Register!$J$11:$J$510,0))&amp;""))</f>
        <v/>
      </c>
      <c r="E352" s="25" t="str">
        <f aca="false">IF($H352="","",IF(ISNUMBER(INDEX(Register!$E$11:$E$510,MATCH($H352,Register!$J$11:$J$510,0))),INDEX(Register!$E$11:$E$510,MATCH($H352,Register!$J$11:$J$510,0))&amp;" mo",INDEX(Register!$E$11:$E$510,MATCH($H352,Register!$J$11:$J$510,0))&amp;""))</f>
        <v/>
      </c>
      <c r="F352" s="26" t="str">
        <f aca="false">IF($H352="","",INDEX(Register!$F$11:$F$510,MATCH($H352,Register!$J$11:$J$510,0)))</f>
        <v/>
      </c>
      <c r="G352" s="27" t="str">
        <f aca="false">IF($H352="","",IF(INDEX(Register!$G$11:$G$510,MATCH($H352,Register!$J$11:$J$510,0))="Check details","Check details: "&amp;INDEX(Register!$I$11:$I$510,MATCH($H352,Register!$J$11:$J$510,0)),INDEX(Register!$G$11:$G$510,MATCH($H352,Register!$J$11:$J$510,0))))</f>
        <v/>
      </c>
      <c r="H352" s="28" t="str">
        <f aca="false">IF(346&gt;COUNT(Register!$J$11:$J$510),"",SMALL(Register!$J$11:$J$510,346))</f>
        <v/>
      </c>
    </row>
    <row r="353" customFormat="false" ht="15" hidden="false" customHeight="false" outlineLevel="0" collapsed="false">
      <c r="A353" s="25" t="str">
        <f aca="false">IF($H353="","",INDEX(Register!$A$11:$A$510,MATCH($H353,Register!$J$11:$J$510,0))&amp;"")</f>
        <v/>
      </c>
      <c r="B353" s="25" t="str">
        <f aca="false">IF($H353="","",INDEX(Register!$B$11:$B$510,MATCH($H353,Register!$J$11:$J$510,0))&amp;"")</f>
        <v/>
      </c>
      <c r="C353" s="25" t="str">
        <f aca="false">IF($H353="","",INDEX(Register!$C$11:$C$510,MATCH($H353,Register!$J$11:$J$510,0))&amp;"")</f>
        <v/>
      </c>
      <c r="D353" s="26" t="str">
        <f aca="false">IF($H353="","",IF(ISNUMBER(INDEX(Register!$D$11:$D$510,MATCH($H353,Register!$J$11:$J$510,0))),INDEX(Register!$D$11:$D$510,MATCH($H353,Register!$J$11:$J$510,0)),INDEX(Register!$D$11:$D$510,MATCH($H353,Register!$J$11:$J$510,0))&amp;""))</f>
        <v/>
      </c>
      <c r="E353" s="25" t="str">
        <f aca="false">IF($H353="","",IF(ISNUMBER(INDEX(Register!$E$11:$E$510,MATCH($H353,Register!$J$11:$J$510,0))),INDEX(Register!$E$11:$E$510,MATCH($H353,Register!$J$11:$J$510,0))&amp;" mo",INDEX(Register!$E$11:$E$510,MATCH($H353,Register!$J$11:$J$510,0))&amp;""))</f>
        <v/>
      </c>
      <c r="F353" s="26" t="str">
        <f aca="false">IF($H353="","",INDEX(Register!$F$11:$F$510,MATCH($H353,Register!$J$11:$J$510,0)))</f>
        <v/>
      </c>
      <c r="G353" s="27" t="str">
        <f aca="false">IF($H353="","",IF(INDEX(Register!$G$11:$G$510,MATCH($H353,Register!$J$11:$J$510,0))="Check details","Check details: "&amp;INDEX(Register!$I$11:$I$510,MATCH($H353,Register!$J$11:$J$510,0)),INDEX(Register!$G$11:$G$510,MATCH($H353,Register!$J$11:$J$510,0))))</f>
        <v/>
      </c>
      <c r="H353" s="28" t="str">
        <f aca="false">IF(347&gt;COUNT(Register!$J$11:$J$510),"",SMALL(Register!$J$11:$J$510,347))</f>
        <v/>
      </c>
    </row>
    <row r="354" customFormat="false" ht="15" hidden="false" customHeight="false" outlineLevel="0" collapsed="false">
      <c r="A354" s="25" t="str">
        <f aca="false">IF($H354="","",INDEX(Register!$A$11:$A$510,MATCH($H354,Register!$J$11:$J$510,0))&amp;"")</f>
        <v/>
      </c>
      <c r="B354" s="25" t="str">
        <f aca="false">IF($H354="","",INDEX(Register!$B$11:$B$510,MATCH($H354,Register!$J$11:$J$510,0))&amp;"")</f>
        <v/>
      </c>
      <c r="C354" s="25" t="str">
        <f aca="false">IF($H354="","",INDEX(Register!$C$11:$C$510,MATCH($H354,Register!$J$11:$J$510,0))&amp;"")</f>
        <v/>
      </c>
      <c r="D354" s="26" t="str">
        <f aca="false">IF($H354="","",IF(ISNUMBER(INDEX(Register!$D$11:$D$510,MATCH($H354,Register!$J$11:$J$510,0))),INDEX(Register!$D$11:$D$510,MATCH($H354,Register!$J$11:$J$510,0)),INDEX(Register!$D$11:$D$510,MATCH($H354,Register!$J$11:$J$510,0))&amp;""))</f>
        <v/>
      </c>
      <c r="E354" s="25" t="str">
        <f aca="false">IF($H354="","",IF(ISNUMBER(INDEX(Register!$E$11:$E$510,MATCH($H354,Register!$J$11:$J$510,0))),INDEX(Register!$E$11:$E$510,MATCH($H354,Register!$J$11:$J$510,0))&amp;" mo",INDEX(Register!$E$11:$E$510,MATCH($H354,Register!$J$11:$J$510,0))&amp;""))</f>
        <v/>
      </c>
      <c r="F354" s="26" t="str">
        <f aca="false">IF($H354="","",INDEX(Register!$F$11:$F$510,MATCH($H354,Register!$J$11:$J$510,0)))</f>
        <v/>
      </c>
      <c r="G354" s="27" t="str">
        <f aca="false">IF($H354="","",IF(INDEX(Register!$G$11:$G$510,MATCH($H354,Register!$J$11:$J$510,0))="Check details","Check details: "&amp;INDEX(Register!$I$11:$I$510,MATCH($H354,Register!$J$11:$J$510,0)),INDEX(Register!$G$11:$G$510,MATCH($H354,Register!$J$11:$J$510,0))))</f>
        <v/>
      </c>
      <c r="H354" s="28" t="str">
        <f aca="false">IF(348&gt;COUNT(Register!$J$11:$J$510),"",SMALL(Register!$J$11:$J$510,348))</f>
        <v/>
      </c>
    </row>
    <row r="355" customFormat="false" ht="15" hidden="false" customHeight="false" outlineLevel="0" collapsed="false">
      <c r="A355" s="25" t="str">
        <f aca="false">IF($H355="","",INDEX(Register!$A$11:$A$510,MATCH($H355,Register!$J$11:$J$510,0))&amp;"")</f>
        <v/>
      </c>
      <c r="B355" s="25" t="str">
        <f aca="false">IF($H355="","",INDEX(Register!$B$11:$B$510,MATCH($H355,Register!$J$11:$J$510,0))&amp;"")</f>
        <v/>
      </c>
      <c r="C355" s="25" t="str">
        <f aca="false">IF($H355="","",INDEX(Register!$C$11:$C$510,MATCH($H355,Register!$J$11:$J$510,0))&amp;"")</f>
        <v/>
      </c>
      <c r="D355" s="26" t="str">
        <f aca="false">IF($H355="","",IF(ISNUMBER(INDEX(Register!$D$11:$D$510,MATCH($H355,Register!$J$11:$J$510,0))),INDEX(Register!$D$11:$D$510,MATCH($H355,Register!$J$11:$J$510,0)),INDEX(Register!$D$11:$D$510,MATCH($H355,Register!$J$11:$J$510,0))&amp;""))</f>
        <v/>
      </c>
      <c r="E355" s="25" t="str">
        <f aca="false">IF($H355="","",IF(ISNUMBER(INDEX(Register!$E$11:$E$510,MATCH($H355,Register!$J$11:$J$510,0))),INDEX(Register!$E$11:$E$510,MATCH($H355,Register!$J$11:$J$510,0))&amp;" mo",INDEX(Register!$E$11:$E$510,MATCH($H355,Register!$J$11:$J$510,0))&amp;""))</f>
        <v/>
      </c>
      <c r="F355" s="26" t="str">
        <f aca="false">IF($H355="","",INDEX(Register!$F$11:$F$510,MATCH($H355,Register!$J$11:$J$510,0)))</f>
        <v/>
      </c>
      <c r="G355" s="27" t="str">
        <f aca="false">IF($H355="","",IF(INDEX(Register!$G$11:$G$510,MATCH($H355,Register!$J$11:$J$510,0))="Check details","Check details: "&amp;INDEX(Register!$I$11:$I$510,MATCH($H355,Register!$J$11:$J$510,0)),INDEX(Register!$G$11:$G$510,MATCH($H355,Register!$J$11:$J$510,0))))</f>
        <v/>
      </c>
      <c r="H355" s="28" t="str">
        <f aca="false">IF(349&gt;COUNT(Register!$J$11:$J$510),"",SMALL(Register!$J$11:$J$510,349))</f>
        <v/>
      </c>
    </row>
    <row r="356" customFormat="false" ht="15" hidden="false" customHeight="false" outlineLevel="0" collapsed="false">
      <c r="A356" s="25" t="str">
        <f aca="false">IF($H356="","",INDEX(Register!$A$11:$A$510,MATCH($H356,Register!$J$11:$J$510,0))&amp;"")</f>
        <v/>
      </c>
      <c r="B356" s="25" t="str">
        <f aca="false">IF($H356="","",INDEX(Register!$B$11:$B$510,MATCH($H356,Register!$J$11:$J$510,0))&amp;"")</f>
        <v/>
      </c>
      <c r="C356" s="25" t="str">
        <f aca="false">IF($H356="","",INDEX(Register!$C$11:$C$510,MATCH($H356,Register!$J$11:$J$510,0))&amp;"")</f>
        <v/>
      </c>
      <c r="D356" s="26" t="str">
        <f aca="false">IF($H356="","",IF(ISNUMBER(INDEX(Register!$D$11:$D$510,MATCH($H356,Register!$J$11:$J$510,0))),INDEX(Register!$D$11:$D$510,MATCH($H356,Register!$J$11:$J$510,0)),INDEX(Register!$D$11:$D$510,MATCH($H356,Register!$J$11:$J$510,0))&amp;""))</f>
        <v/>
      </c>
      <c r="E356" s="25" t="str">
        <f aca="false">IF($H356="","",IF(ISNUMBER(INDEX(Register!$E$11:$E$510,MATCH($H356,Register!$J$11:$J$510,0))),INDEX(Register!$E$11:$E$510,MATCH($H356,Register!$J$11:$J$510,0))&amp;" mo",INDEX(Register!$E$11:$E$510,MATCH($H356,Register!$J$11:$J$510,0))&amp;""))</f>
        <v/>
      </c>
      <c r="F356" s="26" t="str">
        <f aca="false">IF($H356="","",INDEX(Register!$F$11:$F$510,MATCH($H356,Register!$J$11:$J$510,0)))</f>
        <v/>
      </c>
      <c r="G356" s="27" t="str">
        <f aca="false">IF($H356="","",IF(INDEX(Register!$G$11:$G$510,MATCH($H356,Register!$J$11:$J$510,0))="Check details","Check details: "&amp;INDEX(Register!$I$11:$I$510,MATCH($H356,Register!$J$11:$J$510,0)),INDEX(Register!$G$11:$G$510,MATCH($H356,Register!$J$11:$J$510,0))))</f>
        <v/>
      </c>
      <c r="H356" s="28" t="str">
        <f aca="false">IF(350&gt;COUNT(Register!$J$11:$J$510),"",SMALL(Register!$J$11:$J$510,350))</f>
        <v/>
      </c>
    </row>
    <row r="357" customFormat="false" ht="15" hidden="false" customHeight="false" outlineLevel="0" collapsed="false">
      <c r="A357" s="25" t="str">
        <f aca="false">IF($H357="","",INDEX(Register!$A$11:$A$510,MATCH($H357,Register!$J$11:$J$510,0))&amp;"")</f>
        <v/>
      </c>
      <c r="B357" s="25" t="str">
        <f aca="false">IF($H357="","",INDEX(Register!$B$11:$B$510,MATCH($H357,Register!$J$11:$J$510,0))&amp;"")</f>
        <v/>
      </c>
      <c r="C357" s="25" t="str">
        <f aca="false">IF($H357="","",INDEX(Register!$C$11:$C$510,MATCH($H357,Register!$J$11:$J$510,0))&amp;"")</f>
        <v/>
      </c>
      <c r="D357" s="26" t="str">
        <f aca="false">IF($H357="","",IF(ISNUMBER(INDEX(Register!$D$11:$D$510,MATCH($H357,Register!$J$11:$J$510,0))),INDEX(Register!$D$11:$D$510,MATCH($H357,Register!$J$11:$J$510,0)),INDEX(Register!$D$11:$D$510,MATCH($H357,Register!$J$11:$J$510,0))&amp;""))</f>
        <v/>
      </c>
      <c r="E357" s="25" t="str">
        <f aca="false">IF($H357="","",IF(ISNUMBER(INDEX(Register!$E$11:$E$510,MATCH($H357,Register!$J$11:$J$510,0))),INDEX(Register!$E$11:$E$510,MATCH($H357,Register!$J$11:$J$510,0))&amp;" mo",INDEX(Register!$E$11:$E$510,MATCH($H357,Register!$J$11:$J$510,0))&amp;""))</f>
        <v/>
      </c>
      <c r="F357" s="26" t="str">
        <f aca="false">IF($H357="","",INDEX(Register!$F$11:$F$510,MATCH($H357,Register!$J$11:$J$510,0)))</f>
        <v/>
      </c>
      <c r="G357" s="27" t="str">
        <f aca="false">IF($H357="","",IF(INDEX(Register!$G$11:$G$510,MATCH($H357,Register!$J$11:$J$510,0))="Check details","Check details: "&amp;INDEX(Register!$I$11:$I$510,MATCH($H357,Register!$J$11:$J$510,0)),INDEX(Register!$G$11:$G$510,MATCH($H357,Register!$J$11:$J$510,0))))</f>
        <v/>
      </c>
      <c r="H357" s="28" t="str">
        <f aca="false">IF(351&gt;COUNT(Register!$J$11:$J$510),"",SMALL(Register!$J$11:$J$510,351))</f>
        <v/>
      </c>
    </row>
    <row r="358" customFormat="false" ht="15" hidden="false" customHeight="false" outlineLevel="0" collapsed="false">
      <c r="A358" s="25" t="str">
        <f aca="false">IF($H358="","",INDEX(Register!$A$11:$A$510,MATCH($H358,Register!$J$11:$J$510,0))&amp;"")</f>
        <v/>
      </c>
      <c r="B358" s="25" t="str">
        <f aca="false">IF($H358="","",INDEX(Register!$B$11:$B$510,MATCH($H358,Register!$J$11:$J$510,0))&amp;"")</f>
        <v/>
      </c>
      <c r="C358" s="25" t="str">
        <f aca="false">IF($H358="","",INDEX(Register!$C$11:$C$510,MATCH($H358,Register!$J$11:$J$510,0))&amp;"")</f>
        <v/>
      </c>
      <c r="D358" s="26" t="str">
        <f aca="false">IF($H358="","",IF(ISNUMBER(INDEX(Register!$D$11:$D$510,MATCH($H358,Register!$J$11:$J$510,0))),INDEX(Register!$D$11:$D$510,MATCH($H358,Register!$J$11:$J$510,0)),INDEX(Register!$D$11:$D$510,MATCH($H358,Register!$J$11:$J$510,0))&amp;""))</f>
        <v/>
      </c>
      <c r="E358" s="25" t="str">
        <f aca="false">IF($H358="","",IF(ISNUMBER(INDEX(Register!$E$11:$E$510,MATCH($H358,Register!$J$11:$J$510,0))),INDEX(Register!$E$11:$E$510,MATCH($H358,Register!$J$11:$J$510,0))&amp;" mo",INDEX(Register!$E$11:$E$510,MATCH($H358,Register!$J$11:$J$510,0))&amp;""))</f>
        <v/>
      </c>
      <c r="F358" s="26" t="str">
        <f aca="false">IF($H358="","",INDEX(Register!$F$11:$F$510,MATCH($H358,Register!$J$11:$J$510,0)))</f>
        <v/>
      </c>
      <c r="G358" s="27" t="str">
        <f aca="false">IF($H358="","",IF(INDEX(Register!$G$11:$G$510,MATCH($H358,Register!$J$11:$J$510,0))="Check details","Check details: "&amp;INDEX(Register!$I$11:$I$510,MATCH($H358,Register!$J$11:$J$510,0)),INDEX(Register!$G$11:$G$510,MATCH($H358,Register!$J$11:$J$510,0))))</f>
        <v/>
      </c>
      <c r="H358" s="28" t="str">
        <f aca="false">IF(352&gt;COUNT(Register!$J$11:$J$510),"",SMALL(Register!$J$11:$J$510,352))</f>
        <v/>
      </c>
    </row>
    <row r="359" customFormat="false" ht="15" hidden="false" customHeight="false" outlineLevel="0" collapsed="false">
      <c r="A359" s="25" t="str">
        <f aca="false">IF($H359="","",INDEX(Register!$A$11:$A$510,MATCH($H359,Register!$J$11:$J$510,0))&amp;"")</f>
        <v/>
      </c>
      <c r="B359" s="25" t="str">
        <f aca="false">IF($H359="","",INDEX(Register!$B$11:$B$510,MATCH($H359,Register!$J$11:$J$510,0))&amp;"")</f>
        <v/>
      </c>
      <c r="C359" s="25" t="str">
        <f aca="false">IF($H359="","",INDEX(Register!$C$11:$C$510,MATCH($H359,Register!$J$11:$J$510,0))&amp;"")</f>
        <v/>
      </c>
      <c r="D359" s="26" t="str">
        <f aca="false">IF($H359="","",IF(ISNUMBER(INDEX(Register!$D$11:$D$510,MATCH($H359,Register!$J$11:$J$510,0))),INDEX(Register!$D$11:$D$510,MATCH($H359,Register!$J$11:$J$510,0)),INDEX(Register!$D$11:$D$510,MATCH($H359,Register!$J$11:$J$510,0))&amp;""))</f>
        <v/>
      </c>
      <c r="E359" s="25" t="str">
        <f aca="false">IF($H359="","",IF(ISNUMBER(INDEX(Register!$E$11:$E$510,MATCH($H359,Register!$J$11:$J$510,0))),INDEX(Register!$E$11:$E$510,MATCH($H359,Register!$J$11:$J$510,0))&amp;" mo",INDEX(Register!$E$11:$E$510,MATCH($H359,Register!$J$11:$J$510,0))&amp;""))</f>
        <v/>
      </c>
      <c r="F359" s="26" t="str">
        <f aca="false">IF($H359="","",INDEX(Register!$F$11:$F$510,MATCH($H359,Register!$J$11:$J$510,0)))</f>
        <v/>
      </c>
      <c r="G359" s="27" t="str">
        <f aca="false">IF($H359="","",IF(INDEX(Register!$G$11:$G$510,MATCH($H359,Register!$J$11:$J$510,0))="Check details","Check details: "&amp;INDEX(Register!$I$11:$I$510,MATCH($H359,Register!$J$11:$J$510,0)),INDEX(Register!$G$11:$G$510,MATCH($H359,Register!$J$11:$J$510,0))))</f>
        <v/>
      </c>
      <c r="H359" s="28" t="str">
        <f aca="false">IF(353&gt;COUNT(Register!$J$11:$J$510),"",SMALL(Register!$J$11:$J$510,353))</f>
        <v/>
      </c>
    </row>
    <row r="360" customFormat="false" ht="15" hidden="false" customHeight="false" outlineLevel="0" collapsed="false">
      <c r="A360" s="25" t="str">
        <f aca="false">IF($H360="","",INDEX(Register!$A$11:$A$510,MATCH($H360,Register!$J$11:$J$510,0))&amp;"")</f>
        <v/>
      </c>
      <c r="B360" s="25" t="str">
        <f aca="false">IF($H360="","",INDEX(Register!$B$11:$B$510,MATCH($H360,Register!$J$11:$J$510,0))&amp;"")</f>
        <v/>
      </c>
      <c r="C360" s="25" t="str">
        <f aca="false">IF($H360="","",INDEX(Register!$C$11:$C$510,MATCH($H360,Register!$J$11:$J$510,0))&amp;"")</f>
        <v/>
      </c>
      <c r="D360" s="26" t="str">
        <f aca="false">IF($H360="","",IF(ISNUMBER(INDEX(Register!$D$11:$D$510,MATCH($H360,Register!$J$11:$J$510,0))),INDEX(Register!$D$11:$D$510,MATCH($H360,Register!$J$11:$J$510,0)),INDEX(Register!$D$11:$D$510,MATCH($H360,Register!$J$11:$J$510,0))&amp;""))</f>
        <v/>
      </c>
      <c r="E360" s="25" t="str">
        <f aca="false">IF($H360="","",IF(ISNUMBER(INDEX(Register!$E$11:$E$510,MATCH($H360,Register!$J$11:$J$510,0))),INDEX(Register!$E$11:$E$510,MATCH($H360,Register!$J$11:$J$510,0))&amp;" mo",INDEX(Register!$E$11:$E$510,MATCH($H360,Register!$J$11:$J$510,0))&amp;""))</f>
        <v/>
      </c>
      <c r="F360" s="26" t="str">
        <f aca="false">IF($H360="","",INDEX(Register!$F$11:$F$510,MATCH($H360,Register!$J$11:$J$510,0)))</f>
        <v/>
      </c>
      <c r="G360" s="27" t="str">
        <f aca="false">IF($H360="","",IF(INDEX(Register!$G$11:$G$510,MATCH($H360,Register!$J$11:$J$510,0))="Check details","Check details: "&amp;INDEX(Register!$I$11:$I$510,MATCH($H360,Register!$J$11:$J$510,0)),INDEX(Register!$G$11:$G$510,MATCH($H360,Register!$J$11:$J$510,0))))</f>
        <v/>
      </c>
      <c r="H360" s="28" t="str">
        <f aca="false">IF(354&gt;COUNT(Register!$J$11:$J$510),"",SMALL(Register!$J$11:$J$510,354))</f>
        <v/>
      </c>
    </row>
    <row r="361" customFormat="false" ht="15" hidden="false" customHeight="false" outlineLevel="0" collapsed="false">
      <c r="A361" s="25" t="str">
        <f aca="false">IF($H361="","",INDEX(Register!$A$11:$A$510,MATCH($H361,Register!$J$11:$J$510,0))&amp;"")</f>
        <v/>
      </c>
      <c r="B361" s="25" t="str">
        <f aca="false">IF($H361="","",INDEX(Register!$B$11:$B$510,MATCH($H361,Register!$J$11:$J$510,0))&amp;"")</f>
        <v/>
      </c>
      <c r="C361" s="25" t="str">
        <f aca="false">IF($H361="","",INDEX(Register!$C$11:$C$510,MATCH($H361,Register!$J$11:$J$510,0))&amp;"")</f>
        <v/>
      </c>
      <c r="D361" s="26" t="str">
        <f aca="false">IF($H361="","",IF(ISNUMBER(INDEX(Register!$D$11:$D$510,MATCH($H361,Register!$J$11:$J$510,0))),INDEX(Register!$D$11:$D$510,MATCH($H361,Register!$J$11:$J$510,0)),INDEX(Register!$D$11:$D$510,MATCH($H361,Register!$J$11:$J$510,0))&amp;""))</f>
        <v/>
      </c>
      <c r="E361" s="25" t="str">
        <f aca="false">IF($H361="","",IF(ISNUMBER(INDEX(Register!$E$11:$E$510,MATCH($H361,Register!$J$11:$J$510,0))),INDEX(Register!$E$11:$E$510,MATCH($H361,Register!$J$11:$J$510,0))&amp;" mo",INDEX(Register!$E$11:$E$510,MATCH($H361,Register!$J$11:$J$510,0))&amp;""))</f>
        <v/>
      </c>
      <c r="F361" s="26" t="str">
        <f aca="false">IF($H361="","",INDEX(Register!$F$11:$F$510,MATCH($H361,Register!$J$11:$J$510,0)))</f>
        <v/>
      </c>
      <c r="G361" s="27" t="str">
        <f aca="false">IF($H361="","",IF(INDEX(Register!$G$11:$G$510,MATCH($H361,Register!$J$11:$J$510,0))="Check details","Check details: "&amp;INDEX(Register!$I$11:$I$510,MATCH($H361,Register!$J$11:$J$510,0)),INDEX(Register!$G$11:$G$510,MATCH($H361,Register!$J$11:$J$510,0))))</f>
        <v/>
      </c>
      <c r="H361" s="28" t="str">
        <f aca="false">IF(355&gt;COUNT(Register!$J$11:$J$510),"",SMALL(Register!$J$11:$J$510,355))</f>
        <v/>
      </c>
    </row>
    <row r="362" customFormat="false" ht="15" hidden="false" customHeight="false" outlineLevel="0" collapsed="false">
      <c r="A362" s="25" t="str">
        <f aca="false">IF($H362="","",INDEX(Register!$A$11:$A$510,MATCH($H362,Register!$J$11:$J$510,0))&amp;"")</f>
        <v/>
      </c>
      <c r="B362" s="25" t="str">
        <f aca="false">IF($H362="","",INDEX(Register!$B$11:$B$510,MATCH($H362,Register!$J$11:$J$510,0))&amp;"")</f>
        <v/>
      </c>
      <c r="C362" s="25" t="str">
        <f aca="false">IF($H362="","",INDEX(Register!$C$11:$C$510,MATCH($H362,Register!$J$11:$J$510,0))&amp;"")</f>
        <v/>
      </c>
      <c r="D362" s="26" t="str">
        <f aca="false">IF($H362="","",IF(ISNUMBER(INDEX(Register!$D$11:$D$510,MATCH($H362,Register!$J$11:$J$510,0))),INDEX(Register!$D$11:$D$510,MATCH($H362,Register!$J$11:$J$510,0)),INDEX(Register!$D$11:$D$510,MATCH($H362,Register!$J$11:$J$510,0))&amp;""))</f>
        <v/>
      </c>
      <c r="E362" s="25" t="str">
        <f aca="false">IF($H362="","",IF(ISNUMBER(INDEX(Register!$E$11:$E$510,MATCH($H362,Register!$J$11:$J$510,0))),INDEX(Register!$E$11:$E$510,MATCH($H362,Register!$J$11:$J$510,0))&amp;" mo",INDEX(Register!$E$11:$E$510,MATCH($H362,Register!$J$11:$J$510,0))&amp;""))</f>
        <v/>
      </c>
      <c r="F362" s="26" t="str">
        <f aca="false">IF($H362="","",INDEX(Register!$F$11:$F$510,MATCH($H362,Register!$J$11:$J$510,0)))</f>
        <v/>
      </c>
      <c r="G362" s="27" t="str">
        <f aca="false">IF($H362="","",IF(INDEX(Register!$G$11:$G$510,MATCH($H362,Register!$J$11:$J$510,0))="Check details","Check details: "&amp;INDEX(Register!$I$11:$I$510,MATCH($H362,Register!$J$11:$J$510,0)),INDEX(Register!$G$11:$G$510,MATCH($H362,Register!$J$11:$J$510,0))))</f>
        <v/>
      </c>
      <c r="H362" s="28" t="str">
        <f aca="false">IF(356&gt;COUNT(Register!$J$11:$J$510),"",SMALL(Register!$J$11:$J$510,356))</f>
        <v/>
      </c>
    </row>
    <row r="363" customFormat="false" ht="15" hidden="false" customHeight="false" outlineLevel="0" collapsed="false">
      <c r="A363" s="25" t="str">
        <f aca="false">IF($H363="","",INDEX(Register!$A$11:$A$510,MATCH($H363,Register!$J$11:$J$510,0))&amp;"")</f>
        <v/>
      </c>
      <c r="B363" s="25" t="str">
        <f aca="false">IF($H363="","",INDEX(Register!$B$11:$B$510,MATCH($H363,Register!$J$11:$J$510,0))&amp;"")</f>
        <v/>
      </c>
      <c r="C363" s="25" t="str">
        <f aca="false">IF($H363="","",INDEX(Register!$C$11:$C$510,MATCH($H363,Register!$J$11:$J$510,0))&amp;"")</f>
        <v/>
      </c>
      <c r="D363" s="26" t="str">
        <f aca="false">IF($H363="","",IF(ISNUMBER(INDEX(Register!$D$11:$D$510,MATCH($H363,Register!$J$11:$J$510,0))),INDEX(Register!$D$11:$D$510,MATCH($H363,Register!$J$11:$J$510,0)),INDEX(Register!$D$11:$D$510,MATCH($H363,Register!$J$11:$J$510,0))&amp;""))</f>
        <v/>
      </c>
      <c r="E363" s="25" t="str">
        <f aca="false">IF($H363="","",IF(ISNUMBER(INDEX(Register!$E$11:$E$510,MATCH($H363,Register!$J$11:$J$510,0))),INDEX(Register!$E$11:$E$510,MATCH($H363,Register!$J$11:$J$510,0))&amp;" mo",INDEX(Register!$E$11:$E$510,MATCH($H363,Register!$J$11:$J$510,0))&amp;""))</f>
        <v/>
      </c>
      <c r="F363" s="26" t="str">
        <f aca="false">IF($H363="","",INDEX(Register!$F$11:$F$510,MATCH($H363,Register!$J$11:$J$510,0)))</f>
        <v/>
      </c>
      <c r="G363" s="27" t="str">
        <f aca="false">IF($H363="","",IF(INDEX(Register!$G$11:$G$510,MATCH($H363,Register!$J$11:$J$510,0))="Check details","Check details: "&amp;INDEX(Register!$I$11:$I$510,MATCH($H363,Register!$J$11:$J$510,0)),INDEX(Register!$G$11:$G$510,MATCH($H363,Register!$J$11:$J$510,0))))</f>
        <v/>
      </c>
      <c r="H363" s="28" t="str">
        <f aca="false">IF(357&gt;COUNT(Register!$J$11:$J$510),"",SMALL(Register!$J$11:$J$510,357))</f>
        <v/>
      </c>
    </row>
    <row r="364" customFormat="false" ht="15" hidden="false" customHeight="false" outlineLevel="0" collapsed="false">
      <c r="A364" s="25" t="str">
        <f aca="false">IF($H364="","",INDEX(Register!$A$11:$A$510,MATCH($H364,Register!$J$11:$J$510,0))&amp;"")</f>
        <v/>
      </c>
      <c r="B364" s="25" t="str">
        <f aca="false">IF($H364="","",INDEX(Register!$B$11:$B$510,MATCH($H364,Register!$J$11:$J$510,0))&amp;"")</f>
        <v/>
      </c>
      <c r="C364" s="25" t="str">
        <f aca="false">IF($H364="","",INDEX(Register!$C$11:$C$510,MATCH($H364,Register!$J$11:$J$510,0))&amp;"")</f>
        <v/>
      </c>
      <c r="D364" s="26" t="str">
        <f aca="false">IF($H364="","",IF(ISNUMBER(INDEX(Register!$D$11:$D$510,MATCH($H364,Register!$J$11:$J$510,0))),INDEX(Register!$D$11:$D$510,MATCH($H364,Register!$J$11:$J$510,0)),INDEX(Register!$D$11:$D$510,MATCH($H364,Register!$J$11:$J$510,0))&amp;""))</f>
        <v/>
      </c>
      <c r="E364" s="25" t="str">
        <f aca="false">IF($H364="","",IF(ISNUMBER(INDEX(Register!$E$11:$E$510,MATCH($H364,Register!$J$11:$J$510,0))),INDEX(Register!$E$11:$E$510,MATCH($H364,Register!$J$11:$J$510,0))&amp;" mo",INDEX(Register!$E$11:$E$510,MATCH($H364,Register!$J$11:$J$510,0))&amp;""))</f>
        <v/>
      </c>
      <c r="F364" s="26" t="str">
        <f aca="false">IF($H364="","",INDEX(Register!$F$11:$F$510,MATCH($H364,Register!$J$11:$J$510,0)))</f>
        <v/>
      </c>
      <c r="G364" s="27" t="str">
        <f aca="false">IF($H364="","",IF(INDEX(Register!$G$11:$G$510,MATCH($H364,Register!$J$11:$J$510,0))="Check details","Check details: "&amp;INDEX(Register!$I$11:$I$510,MATCH($H364,Register!$J$11:$J$510,0)),INDEX(Register!$G$11:$G$510,MATCH($H364,Register!$J$11:$J$510,0))))</f>
        <v/>
      </c>
      <c r="H364" s="28" t="str">
        <f aca="false">IF(358&gt;COUNT(Register!$J$11:$J$510),"",SMALL(Register!$J$11:$J$510,358))</f>
        <v/>
      </c>
    </row>
    <row r="365" customFormat="false" ht="15" hidden="false" customHeight="false" outlineLevel="0" collapsed="false">
      <c r="A365" s="25" t="str">
        <f aca="false">IF($H365="","",INDEX(Register!$A$11:$A$510,MATCH($H365,Register!$J$11:$J$510,0))&amp;"")</f>
        <v/>
      </c>
      <c r="B365" s="25" t="str">
        <f aca="false">IF($H365="","",INDEX(Register!$B$11:$B$510,MATCH($H365,Register!$J$11:$J$510,0))&amp;"")</f>
        <v/>
      </c>
      <c r="C365" s="25" t="str">
        <f aca="false">IF($H365="","",INDEX(Register!$C$11:$C$510,MATCH($H365,Register!$J$11:$J$510,0))&amp;"")</f>
        <v/>
      </c>
      <c r="D365" s="26" t="str">
        <f aca="false">IF($H365="","",IF(ISNUMBER(INDEX(Register!$D$11:$D$510,MATCH($H365,Register!$J$11:$J$510,0))),INDEX(Register!$D$11:$D$510,MATCH($H365,Register!$J$11:$J$510,0)),INDEX(Register!$D$11:$D$510,MATCH($H365,Register!$J$11:$J$510,0))&amp;""))</f>
        <v/>
      </c>
      <c r="E365" s="25" t="str">
        <f aca="false">IF($H365="","",IF(ISNUMBER(INDEX(Register!$E$11:$E$510,MATCH($H365,Register!$J$11:$J$510,0))),INDEX(Register!$E$11:$E$510,MATCH($H365,Register!$J$11:$J$510,0))&amp;" mo",INDEX(Register!$E$11:$E$510,MATCH($H365,Register!$J$11:$J$510,0))&amp;""))</f>
        <v/>
      </c>
      <c r="F365" s="26" t="str">
        <f aca="false">IF($H365="","",INDEX(Register!$F$11:$F$510,MATCH($H365,Register!$J$11:$J$510,0)))</f>
        <v/>
      </c>
      <c r="G365" s="27" t="str">
        <f aca="false">IF($H365="","",IF(INDEX(Register!$G$11:$G$510,MATCH($H365,Register!$J$11:$J$510,0))="Check details","Check details: "&amp;INDEX(Register!$I$11:$I$510,MATCH($H365,Register!$J$11:$J$510,0)),INDEX(Register!$G$11:$G$510,MATCH($H365,Register!$J$11:$J$510,0))))</f>
        <v/>
      </c>
      <c r="H365" s="28" t="str">
        <f aca="false">IF(359&gt;COUNT(Register!$J$11:$J$510),"",SMALL(Register!$J$11:$J$510,359))</f>
        <v/>
      </c>
    </row>
    <row r="366" customFormat="false" ht="15" hidden="false" customHeight="false" outlineLevel="0" collapsed="false">
      <c r="A366" s="25" t="str">
        <f aca="false">IF($H366="","",INDEX(Register!$A$11:$A$510,MATCH($H366,Register!$J$11:$J$510,0))&amp;"")</f>
        <v/>
      </c>
      <c r="B366" s="25" t="str">
        <f aca="false">IF($H366="","",INDEX(Register!$B$11:$B$510,MATCH($H366,Register!$J$11:$J$510,0))&amp;"")</f>
        <v/>
      </c>
      <c r="C366" s="25" t="str">
        <f aca="false">IF($H366="","",INDEX(Register!$C$11:$C$510,MATCH($H366,Register!$J$11:$J$510,0))&amp;"")</f>
        <v/>
      </c>
      <c r="D366" s="26" t="str">
        <f aca="false">IF($H366="","",IF(ISNUMBER(INDEX(Register!$D$11:$D$510,MATCH($H366,Register!$J$11:$J$510,0))),INDEX(Register!$D$11:$D$510,MATCH($H366,Register!$J$11:$J$510,0)),INDEX(Register!$D$11:$D$510,MATCH($H366,Register!$J$11:$J$510,0))&amp;""))</f>
        <v/>
      </c>
      <c r="E366" s="25" t="str">
        <f aca="false">IF($H366="","",IF(ISNUMBER(INDEX(Register!$E$11:$E$510,MATCH($H366,Register!$J$11:$J$510,0))),INDEX(Register!$E$11:$E$510,MATCH($H366,Register!$J$11:$J$510,0))&amp;" mo",INDEX(Register!$E$11:$E$510,MATCH($H366,Register!$J$11:$J$510,0))&amp;""))</f>
        <v/>
      </c>
      <c r="F366" s="26" t="str">
        <f aca="false">IF($H366="","",INDEX(Register!$F$11:$F$510,MATCH($H366,Register!$J$11:$J$510,0)))</f>
        <v/>
      </c>
      <c r="G366" s="27" t="str">
        <f aca="false">IF($H366="","",IF(INDEX(Register!$G$11:$G$510,MATCH($H366,Register!$J$11:$J$510,0))="Check details","Check details: "&amp;INDEX(Register!$I$11:$I$510,MATCH($H366,Register!$J$11:$J$510,0)),INDEX(Register!$G$11:$G$510,MATCH($H366,Register!$J$11:$J$510,0))))</f>
        <v/>
      </c>
      <c r="H366" s="28" t="str">
        <f aca="false">IF(360&gt;COUNT(Register!$J$11:$J$510),"",SMALL(Register!$J$11:$J$510,360))</f>
        <v/>
      </c>
    </row>
    <row r="367" customFormat="false" ht="15" hidden="false" customHeight="false" outlineLevel="0" collapsed="false">
      <c r="A367" s="25" t="str">
        <f aca="false">IF($H367="","",INDEX(Register!$A$11:$A$510,MATCH($H367,Register!$J$11:$J$510,0))&amp;"")</f>
        <v/>
      </c>
      <c r="B367" s="25" t="str">
        <f aca="false">IF($H367="","",INDEX(Register!$B$11:$B$510,MATCH($H367,Register!$J$11:$J$510,0))&amp;"")</f>
        <v/>
      </c>
      <c r="C367" s="25" t="str">
        <f aca="false">IF($H367="","",INDEX(Register!$C$11:$C$510,MATCH($H367,Register!$J$11:$J$510,0))&amp;"")</f>
        <v/>
      </c>
      <c r="D367" s="26" t="str">
        <f aca="false">IF($H367="","",IF(ISNUMBER(INDEX(Register!$D$11:$D$510,MATCH($H367,Register!$J$11:$J$510,0))),INDEX(Register!$D$11:$D$510,MATCH($H367,Register!$J$11:$J$510,0)),INDEX(Register!$D$11:$D$510,MATCH($H367,Register!$J$11:$J$510,0))&amp;""))</f>
        <v/>
      </c>
      <c r="E367" s="25" t="str">
        <f aca="false">IF($H367="","",IF(ISNUMBER(INDEX(Register!$E$11:$E$510,MATCH($H367,Register!$J$11:$J$510,0))),INDEX(Register!$E$11:$E$510,MATCH($H367,Register!$J$11:$J$510,0))&amp;" mo",INDEX(Register!$E$11:$E$510,MATCH($H367,Register!$J$11:$J$510,0))&amp;""))</f>
        <v/>
      </c>
      <c r="F367" s="26" t="str">
        <f aca="false">IF($H367="","",INDEX(Register!$F$11:$F$510,MATCH($H367,Register!$J$11:$J$510,0)))</f>
        <v/>
      </c>
      <c r="G367" s="27" t="str">
        <f aca="false">IF($H367="","",IF(INDEX(Register!$G$11:$G$510,MATCH($H367,Register!$J$11:$J$510,0))="Check details","Check details: "&amp;INDEX(Register!$I$11:$I$510,MATCH($H367,Register!$J$11:$J$510,0)),INDEX(Register!$G$11:$G$510,MATCH($H367,Register!$J$11:$J$510,0))))</f>
        <v/>
      </c>
      <c r="H367" s="28" t="str">
        <f aca="false">IF(361&gt;COUNT(Register!$J$11:$J$510),"",SMALL(Register!$J$11:$J$510,361))</f>
        <v/>
      </c>
    </row>
    <row r="368" customFormat="false" ht="15" hidden="false" customHeight="false" outlineLevel="0" collapsed="false">
      <c r="A368" s="25" t="str">
        <f aca="false">IF($H368="","",INDEX(Register!$A$11:$A$510,MATCH($H368,Register!$J$11:$J$510,0))&amp;"")</f>
        <v/>
      </c>
      <c r="B368" s="25" t="str">
        <f aca="false">IF($H368="","",INDEX(Register!$B$11:$B$510,MATCH($H368,Register!$J$11:$J$510,0))&amp;"")</f>
        <v/>
      </c>
      <c r="C368" s="25" t="str">
        <f aca="false">IF($H368="","",INDEX(Register!$C$11:$C$510,MATCH($H368,Register!$J$11:$J$510,0))&amp;"")</f>
        <v/>
      </c>
      <c r="D368" s="26" t="str">
        <f aca="false">IF($H368="","",IF(ISNUMBER(INDEX(Register!$D$11:$D$510,MATCH($H368,Register!$J$11:$J$510,0))),INDEX(Register!$D$11:$D$510,MATCH($H368,Register!$J$11:$J$510,0)),INDEX(Register!$D$11:$D$510,MATCH($H368,Register!$J$11:$J$510,0))&amp;""))</f>
        <v/>
      </c>
      <c r="E368" s="25" t="str">
        <f aca="false">IF($H368="","",IF(ISNUMBER(INDEX(Register!$E$11:$E$510,MATCH($H368,Register!$J$11:$J$510,0))),INDEX(Register!$E$11:$E$510,MATCH($H368,Register!$J$11:$J$510,0))&amp;" mo",INDEX(Register!$E$11:$E$510,MATCH($H368,Register!$J$11:$J$510,0))&amp;""))</f>
        <v/>
      </c>
      <c r="F368" s="26" t="str">
        <f aca="false">IF($H368="","",INDEX(Register!$F$11:$F$510,MATCH($H368,Register!$J$11:$J$510,0)))</f>
        <v/>
      </c>
      <c r="G368" s="27" t="str">
        <f aca="false">IF($H368="","",IF(INDEX(Register!$G$11:$G$510,MATCH($H368,Register!$J$11:$J$510,0))="Check details","Check details: "&amp;INDEX(Register!$I$11:$I$510,MATCH($H368,Register!$J$11:$J$510,0)),INDEX(Register!$G$11:$G$510,MATCH($H368,Register!$J$11:$J$510,0))))</f>
        <v/>
      </c>
      <c r="H368" s="28" t="str">
        <f aca="false">IF(362&gt;COUNT(Register!$J$11:$J$510),"",SMALL(Register!$J$11:$J$510,362))</f>
        <v/>
      </c>
    </row>
    <row r="369" customFormat="false" ht="15" hidden="false" customHeight="false" outlineLevel="0" collapsed="false">
      <c r="A369" s="25" t="str">
        <f aca="false">IF($H369="","",INDEX(Register!$A$11:$A$510,MATCH($H369,Register!$J$11:$J$510,0))&amp;"")</f>
        <v/>
      </c>
      <c r="B369" s="25" t="str">
        <f aca="false">IF($H369="","",INDEX(Register!$B$11:$B$510,MATCH($H369,Register!$J$11:$J$510,0))&amp;"")</f>
        <v/>
      </c>
      <c r="C369" s="25" t="str">
        <f aca="false">IF($H369="","",INDEX(Register!$C$11:$C$510,MATCH($H369,Register!$J$11:$J$510,0))&amp;"")</f>
        <v/>
      </c>
      <c r="D369" s="26" t="str">
        <f aca="false">IF($H369="","",IF(ISNUMBER(INDEX(Register!$D$11:$D$510,MATCH($H369,Register!$J$11:$J$510,0))),INDEX(Register!$D$11:$D$510,MATCH($H369,Register!$J$11:$J$510,0)),INDEX(Register!$D$11:$D$510,MATCH($H369,Register!$J$11:$J$510,0))&amp;""))</f>
        <v/>
      </c>
      <c r="E369" s="25" t="str">
        <f aca="false">IF($H369="","",IF(ISNUMBER(INDEX(Register!$E$11:$E$510,MATCH($H369,Register!$J$11:$J$510,0))),INDEX(Register!$E$11:$E$510,MATCH($H369,Register!$J$11:$J$510,0))&amp;" mo",INDEX(Register!$E$11:$E$510,MATCH($H369,Register!$J$11:$J$510,0))&amp;""))</f>
        <v/>
      </c>
      <c r="F369" s="26" t="str">
        <f aca="false">IF($H369="","",INDEX(Register!$F$11:$F$510,MATCH($H369,Register!$J$11:$J$510,0)))</f>
        <v/>
      </c>
      <c r="G369" s="27" t="str">
        <f aca="false">IF($H369="","",IF(INDEX(Register!$G$11:$G$510,MATCH($H369,Register!$J$11:$J$510,0))="Check details","Check details: "&amp;INDEX(Register!$I$11:$I$510,MATCH($H369,Register!$J$11:$J$510,0)),INDEX(Register!$G$11:$G$510,MATCH($H369,Register!$J$11:$J$510,0))))</f>
        <v/>
      </c>
      <c r="H369" s="28" t="str">
        <f aca="false">IF(363&gt;COUNT(Register!$J$11:$J$510),"",SMALL(Register!$J$11:$J$510,363))</f>
        <v/>
      </c>
    </row>
    <row r="370" customFormat="false" ht="15" hidden="false" customHeight="false" outlineLevel="0" collapsed="false">
      <c r="A370" s="25" t="str">
        <f aca="false">IF($H370="","",INDEX(Register!$A$11:$A$510,MATCH($H370,Register!$J$11:$J$510,0))&amp;"")</f>
        <v/>
      </c>
      <c r="B370" s="25" t="str">
        <f aca="false">IF($H370="","",INDEX(Register!$B$11:$B$510,MATCH($H370,Register!$J$11:$J$510,0))&amp;"")</f>
        <v/>
      </c>
      <c r="C370" s="25" t="str">
        <f aca="false">IF($H370="","",INDEX(Register!$C$11:$C$510,MATCH($H370,Register!$J$11:$J$510,0))&amp;"")</f>
        <v/>
      </c>
      <c r="D370" s="26" t="str">
        <f aca="false">IF($H370="","",IF(ISNUMBER(INDEX(Register!$D$11:$D$510,MATCH($H370,Register!$J$11:$J$510,0))),INDEX(Register!$D$11:$D$510,MATCH($H370,Register!$J$11:$J$510,0)),INDEX(Register!$D$11:$D$510,MATCH($H370,Register!$J$11:$J$510,0))&amp;""))</f>
        <v/>
      </c>
      <c r="E370" s="25" t="str">
        <f aca="false">IF($H370="","",IF(ISNUMBER(INDEX(Register!$E$11:$E$510,MATCH($H370,Register!$J$11:$J$510,0))),INDEX(Register!$E$11:$E$510,MATCH($H370,Register!$J$11:$J$510,0))&amp;" mo",INDEX(Register!$E$11:$E$510,MATCH($H370,Register!$J$11:$J$510,0))&amp;""))</f>
        <v/>
      </c>
      <c r="F370" s="26" t="str">
        <f aca="false">IF($H370="","",INDEX(Register!$F$11:$F$510,MATCH($H370,Register!$J$11:$J$510,0)))</f>
        <v/>
      </c>
      <c r="G370" s="27" t="str">
        <f aca="false">IF($H370="","",IF(INDEX(Register!$G$11:$G$510,MATCH($H370,Register!$J$11:$J$510,0))="Check details","Check details: "&amp;INDEX(Register!$I$11:$I$510,MATCH($H370,Register!$J$11:$J$510,0)),INDEX(Register!$G$11:$G$510,MATCH($H370,Register!$J$11:$J$510,0))))</f>
        <v/>
      </c>
      <c r="H370" s="28" t="str">
        <f aca="false">IF(364&gt;COUNT(Register!$J$11:$J$510),"",SMALL(Register!$J$11:$J$510,364))</f>
        <v/>
      </c>
    </row>
    <row r="371" customFormat="false" ht="15" hidden="false" customHeight="false" outlineLevel="0" collapsed="false">
      <c r="A371" s="25" t="str">
        <f aca="false">IF($H371="","",INDEX(Register!$A$11:$A$510,MATCH($H371,Register!$J$11:$J$510,0))&amp;"")</f>
        <v/>
      </c>
      <c r="B371" s="25" t="str">
        <f aca="false">IF($H371="","",INDEX(Register!$B$11:$B$510,MATCH($H371,Register!$J$11:$J$510,0))&amp;"")</f>
        <v/>
      </c>
      <c r="C371" s="25" t="str">
        <f aca="false">IF($H371="","",INDEX(Register!$C$11:$C$510,MATCH($H371,Register!$J$11:$J$510,0))&amp;"")</f>
        <v/>
      </c>
      <c r="D371" s="26" t="str">
        <f aca="false">IF($H371="","",IF(ISNUMBER(INDEX(Register!$D$11:$D$510,MATCH($H371,Register!$J$11:$J$510,0))),INDEX(Register!$D$11:$D$510,MATCH($H371,Register!$J$11:$J$510,0)),INDEX(Register!$D$11:$D$510,MATCH($H371,Register!$J$11:$J$510,0))&amp;""))</f>
        <v/>
      </c>
      <c r="E371" s="25" t="str">
        <f aca="false">IF($H371="","",IF(ISNUMBER(INDEX(Register!$E$11:$E$510,MATCH($H371,Register!$J$11:$J$510,0))),INDEX(Register!$E$11:$E$510,MATCH($H371,Register!$J$11:$J$510,0))&amp;" mo",INDEX(Register!$E$11:$E$510,MATCH($H371,Register!$J$11:$J$510,0))&amp;""))</f>
        <v/>
      </c>
      <c r="F371" s="26" t="str">
        <f aca="false">IF($H371="","",INDEX(Register!$F$11:$F$510,MATCH($H371,Register!$J$11:$J$510,0)))</f>
        <v/>
      </c>
      <c r="G371" s="27" t="str">
        <f aca="false">IF($H371="","",IF(INDEX(Register!$G$11:$G$510,MATCH($H371,Register!$J$11:$J$510,0))="Check details","Check details: "&amp;INDEX(Register!$I$11:$I$510,MATCH($H371,Register!$J$11:$J$510,0)),INDEX(Register!$G$11:$G$510,MATCH($H371,Register!$J$11:$J$510,0))))</f>
        <v/>
      </c>
      <c r="H371" s="28" t="str">
        <f aca="false">IF(365&gt;COUNT(Register!$J$11:$J$510),"",SMALL(Register!$J$11:$J$510,365))</f>
        <v/>
      </c>
    </row>
    <row r="372" customFormat="false" ht="15" hidden="false" customHeight="false" outlineLevel="0" collapsed="false">
      <c r="A372" s="25" t="str">
        <f aca="false">IF($H372="","",INDEX(Register!$A$11:$A$510,MATCH($H372,Register!$J$11:$J$510,0))&amp;"")</f>
        <v/>
      </c>
      <c r="B372" s="25" t="str">
        <f aca="false">IF($H372="","",INDEX(Register!$B$11:$B$510,MATCH($H372,Register!$J$11:$J$510,0))&amp;"")</f>
        <v/>
      </c>
      <c r="C372" s="25" t="str">
        <f aca="false">IF($H372="","",INDEX(Register!$C$11:$C$510,MATCH($H372,Register!$J$11:$J$510,0))&amp;"")</f>
        <v/>
      </c>
      <c r="D372" s="26" t="str">
        <f aca="false">IF($H372="","",IF(ISNUMBER(INDEX(Register!$D$11:$D$510,MATCH($H372,Register!$J$11:$J$510,0))),INDEX(Register!$D$11:$D$510,MATCH($H372,Register!$J$11:$J$510,0)),INDEX(Register!$D$11:$D$510,MATCH($H372,Register!$J$11:$J$510,0))&amp;""))</f>
        <v/>
      </c>
      <c r="E372" s="25" t="str">
        <f aca="false">IF($H372="","",IF(ISNUMBER(INDEX(Register!$E$11:$E$510,MATCH($H372,Register!$J$11:$J$510,0))),INDEX(Register!$E$11:$E$510,MATCH($H372,Register!$J$11:$J$510,0))&amp;" mo",INDEX(Register!$E$11:$E$510,MATCH($H372,Register!$J$11:$J$510,0))&amp;""))</f>
        <v/>
      </c>
      <c r="F372" s="26" t="str">
        <f aca="false">IF($H372="","",INDEX(Register!$F$11:$F$510,MATCH($H372,Register!$J$11:$J$510,0)))</f>
        <v/>
      </c>
      <c r="G372" s="27" t="str">
        <f aca="false">IF($H372="","",IF(INDEX(Register!$G$11:$G$510,MATCH($H372,Register!$J$11:$J$510,0))="Check details","Check details: "&amp;INDEX(Register!$I$11:$I$510,MATCH($H372,Register!$J$11:$J$510,0)),INDEX(Register!$G$11:$G$510,MATCH($H372,Register!$J$11:$J$510,0))))</f>
        <v/>
      </c>
      <c r="H372" s="28" t="str">
        <f aca="false">IF(366&gt;COUNT(Register!$J$11:$J$510),"",SMALL(Register!$J$11:$J$510,366))</f>
        <v/>
      </c>
    </row>
    <row r="373" customFormat="false" ht="15" hidden="false" customHeight="false" outlineLevel="0" collapsed="false">
      <c r="A373" s="25" t="str">
        <f aca="false">IF($H373="","",INDEX(Register!$A$11:$A$510,MATCH($H373,Register!$J$11:$J$510,0))&amp;"")</f>
        <v/>
      </c>
      <c r="B373" s="25" t="str">
        <f aca="false">IF($H373="","",INDEX(Register!$B$11:$B$510,MATCH($H373,Register!$J$11:$J$510,0))&amp;"")</f>
        <v/>
      </c>
      <c r="C373" s="25" t="str">
        <f aca="false">IF($H373="","",INDEX(Register!$C$11:$C$510,MATCH($H373,Register!$J$11:$J$510,0))&amp;"")</f>
        <v/>
      </c>
      <c r="D373" s="26" t="str">
        <f aca="false">IF($H373="","",IF(ISNUMBER(INDEX(Register!$D$11:$D$510,MATCH($H373,Register!$J$11:$J$510,0))),INDEX(Register!$D$11:$D$510,MATCH($H373,Register!$J$11:$J$510,0)),INDEX(Register!$D$11:$D$510,MATCH($H373,Register!$J$11:$J$510,0))&amp;""))</f>
        <v/>
      </c>
      <c r="E373" s="25" t="str">
        <f aca="false">IF($H373="","",IF(ISNUMBER(INDEX(Register!$E$11:$E$510,MATCH($H373,Register!$J$11:$J$510,0))),INDEX(Register!$E$11:$E$510,MATCH($H373,Register!$J$11:$J$510,0))&amp;" mo",INDEX(Register!$E$11:$E$510,MATCH($H373,Register!$J$11:$J$510,0))&amp;""))</f>
        <v/>
      </c>
      <c r="F373" s="26" t="str">
        <f aca="false">IF($H373="","",INDEX(Register!$F$11:$F$510,MATCH($H373,Register!$J$11:$J$510,0)))</f>
        <v/>
      </c>
      <c r="G373" s="27" t="str">
        <f aca="false">IF($H373="","",IF(INDEX(Register!$G$11:$G$510,MATCH($H373,Register!$J$11:$J$510,0))="Check details","Check details: "&amp;INDEX(Register!$I$11:$I$510,MATCH($H373,Register!$J$11:$J$510,0)),INDEX(Register!$G$11:$G$510,MATCH($H373,Register!$J$11:$J$510,0))))</f>
        <v/>
      </c>
      <c r="H373" s="28" t="str">
        <f aca="false">IF(367&gt;COUNT(Register!$J$11:$J$510),"",SMALL(Register!$J$11:$J$510,367))</f>
        <v/>
      </c>
    </row>
    <row r="374" customFormat="false" ht="15" hidden="false" customHeight="false" outlineLevel="0" collapsed="false">
      <c r="A374" s="25" t="str">
        <f aca="false">IF($H374="","",INDEX(Register!$A$11:$A$510,MATCH($H374,Register!$J$11:$J$510,0))&amp;"")</f>
        <v/>
      </c>
      <c r="B374" s="25" t="str">
        <f aca="false">IF($H374="","",INDEX(Register!$B$11:$B$510,MATCH($H374,Register!$J$11:$J$510,0))&amp;"")</f>
        <v/>
      </c>
      <c r="C374" s="25" t="str">
        <f aca="false">IF($H374="","",INDEX(Register!$C$11:$C$510,MATCH($H374,Register!$J$11:$J$510,0))&amp;"")</f>
        <v/>
      </c>
      <c r="D374" s="26" t="str">
        <f aca="false">IF($H374="","",IF(ISNUMBER(INDEX(Register!$D$11:$D$510,MATCH($H374,Register!$J$11:$J$510,0))),INDEX(Register!$D$11:$D$510,MATCH($H374,Register!$J$11:$J$510,0)),INDEX(Register!$D$11:$D$510,MATCH($H374,Register!$J$11:$J$510,0))&amp;""))</f>
        <v/>
      </c>
      <c r="E374" s="25" t="str">
        <f aca="false">IF($H374="","",IF(ISNUMBER(INDEX(Register!$E$11:$E$510,MATCH($H374,Register!$J$11:$J$510,0))),INDEX(Register!$E$11:$E$510,MATCH($H374,Register!$J$11:$J$510,0))&amp;" mo",INDEX(Register!$E$11:$E$510,MATCH($H374,Register!$J$11:$J$510,0))&amp;""))</f>
        <v/>
      </c>
      <c r="F374" s="26" t="str">
        <f aca="false">IF($H374="","",INDEX(Register!$F$11:$F$510,MATCH($H374,Register!$J$11:$J$510,0)))</f>
        <v/>
      </c>
      <c r="G374" s="27" t="str">
        <f aca="false">IF($H374="","",IF(INDEX(Register!$G$11:$G$510,MATCH($H374,Register!$J$11:$J$510,0))="Check details","Check details: "&amp;INDEX(Register!$I$11:$I$510,MATCH($H374,Register!$J$11:$J$510,0)),INDEX(Register!$G$11:$G$510,MATCH($H374,Register!$J$11:$J$510,0))))</f>
        <v/>
      </c>
      <c r="H374" s="28" t="str">
        <f aca="false">IF(368&gt;COUNT(Register!$J$11:$J$510),"",SMALL(Register!$J$11:$J$510,368))</f>
        <v/>
      </c>
    </row>
    <row r="375" customFormat="false" ht="15" hidden="false" customHeight="false" outlineLevel="0" collapsed="false">
      <c r="A375" s="25" t="str">
        <f aca="false">IF($H375="","",INDEX(Register!$A$11:$A$510,MATCH($H375,Register!$J$11:$J$510,0))&amp;"")</f>
        <v/>
      </c>
      <c r="B375" s="25" t="str">
        <f aca="false">IF($H375="","",INDEX(Register!$B$11:$B$510,MATCH($H375,Register!$J$11:$J$510,0))&amp;"")</f>
        <v/>
      </c>
      <c r="C375" s="25" t="str">
        <f aca="false">IF($H375="","",INDEX(Register!$C$11:$C$510,MATCH($H375,Register!$J$11:$J$510,0))&amp;"")</f>
        <v/>
      </c>
      <c r="D375" s="26" t="str">
        <f aca="false">IF($H375="","",IF(ISNUMBER(INDEX(Register!$D$11:$D$510,MATCH($H375,Register!$J$11:$J$510,0))),INDEX(Register!$D$11:$D$510,MATCH($H375,Register!$J$11:$J$510,0)),INDEX(Register!$D$11:$D$510,MATCH($H375,Register!$J$11:$J$510,0))&amp;""))</f>
        <v/>
      </c>
      <c r="E375" s="25" t="str">
        <f aca="false">IF($H375="","",IF(ISNUMBER(INDEX(Register!$E$11:$E$510,MATCH($H375,Register!$J$11:$J$510,0))),INDEX(Register!$E$11:$E$510,MATCH($H375,Register!$J$11:$J$510,0))&amp;" mo",INDEX(Register!$E$11:$E$510,MATCH($H375,Register!$J$11:$J$510,0))&amp;""))</f>
        <v/>
      </c>
      <c r="F375" s="26" t="str">
        <f aca="false">IF($H375="","",INDEX(Register!$F$11:$F$510,MATCH($H375,Register!$J$11:$J$510,0)))</f>
        <v/>
      </c>
      <c r="G375" s="27" t="str">
        <f aca="false">IF($H375="","",IF(INDEX(Register!$G$11:$G$510,MATCH($H375,Register!$J$11:$J$510,0))="Check details","Check details: "&amp;INDEX(Register!$I$11:$I$510,MATCH($H375,Register!$J$11:$J$510,0)),INDEX(Register!$G$11:$G$510,MATCH($H375,Register!$J$11:$J$510,0))))</f>
        <v/>
      </c>
      <c r="H375" s="28" t="str">
        <f aca="false">IF(369&gt;COUNT(Register!$J$11:$J$510),"",SMALL(Register!$J$11:$J$510,369))</f>
        <v/>
      </c>
    </row>
    <row r="376" customFormat="false" ht="15" hidden="false" customHeight="false" outlineLevel="0" collapsed="false">
      <c r="A376" s="25" t="str">
        <f aca="false">IF($H376="","",INDEX(Register!$A$11:$A$510,MATCH($H376,Register!$J$11:$J$510,0))&amp;"")</f>
        <v/>
      </c>
      <c r="B376" s="25" t="str">
        <f aca="false">IF($H376="","",INDEX(Register!$B$11:$B$510,MATCH($H376,Register!$J$11:$J$510,0))&amp;"")</f>
        <v/>
      </c>
      <c r="C376" s="25" t="str">
        <f aca="false">IF($H376="","",INDEX(Register!$C$11:$C$510,MATCH($H376,Register!$J$11:$J$510,0))&amp;"")</f>
        <v/>
      </c>
      <c r="D376" s="26" t="str">
        <f aca="false">IF($H376="","",IF(ISNUMBER(INDEX(Register!$D$11:$D$510,MATCH($H376,Register!$J$11:$J$510,0))),INDEX(Register!$D$11:$D$510,MATCH($H376,Register!$J$11:$J$510,0)),INDEX(Register!$D$11:$D$510,MATCH($H376,Register!$J$11:$J$510,0))&amp;""))</f>
        <v/>
      </c>
      <c r="E376" s="25" t="str">
        <f aca="false">IF($H376="","",IF(ISNUMBER(INDEX(Register!$E$11:$E$510,MATCH($H376,Register!$J$11:$J$510,0))),INDEX(Register!$E$11:$E$510,MATCH($H376,Register!$J$11:$J$510,0))&amp;" mo",INDEX(Register!$E$11:$E$510,MATCH($H376,Register!$J$11:$J$510,0))&amp;""))</f>
        <v/>
      </c>
      <c r="F376" s="26" t="str">
        <f aca="false">IF($H376="","",INDEX(Register!$F$11:$F$510,MATCH($H376,Register!$J$11:$J$510,0)))</f>
        <v/>
      </c>
      <c r="G376" s="27" t="str">
        <f aca="false">IF($H376="","",IF(INDEX(Register!$G$11:$G$510,MATCH($H376,Register!$J$11:$J$510,0))="Check details","Check details: "&amp;INDEX(Register!$I$11:$I$510,MATCH($H376,Register!$J$11:$J$510,0)),INDEX(Register!$G$11:$G$510,MATCH($H376,Register!$J$11:$J$510,0))))</f>
        <v/>
      </c>
      <c r="H376" s="28" t="str">
        <f aca="false">IF(370&gt;COUNT(Register!$J$11:$J$510),"",SMALL(Register!$J$11:$J$510,370))</f>
        <v/>
      </c>
    </row>
    <row r="377" customFormat="false" ht="15" hidden="false" customHeight="false" outlineLevel="0" collapsed="false">
      <c r="A377" s="25" t="str">
        <f aca="false">IF($H377="","",INDEX(Register!$A$11:$A$510,MATCH($H377,Register!$J$11:$J$510,0))&amp;"")</f>
        <v/>
      </c>
      <c r="B377" s="25" t="str">
        <f aca="false">IF($H377="","",INDEX(Register!$B$11:$B$510,MATCH($H377,Register!$J$11:$J$510,0))&amp;"")</f>
        <v/>
      </c>
      <c r="C377" s="25" t="str">
        <f aca="false">IF($H377="","",INDEX(Register!$C$11:$C$510,MATCH($H377,Register!$J$11:$J$510,0))&amp;"")</f>
        <v/>
      </c>
      <c r="D377" s="26" t="str">
        <f aca="false">IF($H377="","",IF(ISNUMBER(INDEX(Register!$D$11:$D$510,MATCH($H377,Register!$J$11:$J$510,0))),INDEX(Register!$D$11:$D$510,MATCH($H377,Register!$J$11:$J$510,0)),INDEX(Register!$D$11:$D$510,MATCH($H377,Register!$J$11:$J$510,0))&amp;""))</f>
        <v/>
      </c>
      <c r="E377" s="25" t="str">
        <f aca="false">IF($H377="","",IF(ISNUMBER(INDEX(Register!$E$11:$E$510,MATCH($H377,Register!$J$11:$J$510,0))),INDEX(Register!$E$11:$E$510,MATCH($H377,Register!$J$11:$J$510,0))&amp;" mo",INDEX(Register!$E$11:$E$510,MATCH($H377,Register!$J$11:$J$510,0))&amp;""))</f>
        <v/>
      </c>
      <c r="F377" s="26" t="str">
        <f aca="false">IF($H377="","",INDEX(Register!$F$11:$F$510,MATCH($H377,Register!$J$11:$J$510,0)))</f>
        <v/>
      </c>
      <c r="G377" s="27" t="str">
        <f aca="false">IF($H377="","",IF(INDEX(Register!$G$11:$G$510,MATCH($H377,Register!$J$11:$J$510,0))="Check details","Check details: "&amp;INDEX(Register!$I$11:$I$510,MATCH($H377,Register!$J$11:$J$510,0)),INDEX(Register!$G$11:$G$510,MATCH($H377,Register!$J$11:$J$510,0))))</f>
        <v/>
      </c>
      <c r="H377" s="28" t="str">
        <f aca="false">IF(371&gt;COUNT(Register!$J$11:$J$510),"",SMALL(Register!$J$11:$J$510,371))</f>
        <v/>
      </c>
    </row>
    <row r="378" customFormat="false" ht="15" hidden="false" customHeight="false" outlineLevel="0" collapsed="false">
      <c r="A378" s="25" t="str">
        <f aca="false">IF($H378="","",INDEX(Register!$A$11:$A$510,MATCH($H378,Register!$J$11:$J$510,0))&amp;"")</f>
        <v/>
      </c>
      <c r="B378" s="25" t="str">
        <f aca="false">IF($H378="","",INDEX(Register!$B$11:$B$510,MATCH($H378,Register!$J$11:$J$510,0))&amp;"")</f>
        <v/>
      </c>
      <c r="C378" s="25" t="str">
        <f aca="false">IF($H378="","",INDEX(Register!$C$11:$C$510,MATCH($H378,Register!$J$11:$J$510,0))&amp;"")</f>
        <v/>
      </c>
      <c r="D378" s="26" t="str">
        <f aca="false">IF($H378="","",IF(ISNUMBER(INDEX(Register!$D$11:$D$510,MATCH($H378,Register!$J$11:$J$510,0))),INDEX(Register!$D$11:$D$510,MATCH($H378,Register!$J$11:$J$510,0)),INDEX(Register!$D$11:$D$510,MATCH($H378,Register!$J$11:$J$510,0))&amp;""))</f>
        <v/>
      </c>
      <c r="E378" s="25" t="str">
        <f aca="false">IF($H378="","",IF(ISNUMBER(INDEX(Register!$E$11:$E$510,MATCH($H378,Register!$J$11:$J$510,0))),INDEX(Register!$E$11:$E$510,MATCH($H378,Register!$J$11:$J$510,0))&amp;" mo",INDEX(Register!$E$11:$E$510,MATCH($H378,Register!$J$11:$J$510,0))&amp;""))</f>
        <v/>
      </c>
      <c r="F378" s="26" t="str">
        <f aca="false">IF($H378="","",INDEX(Register!$F$11:$F$510,MATCH($H378,Register!$J$11:$J$510,0)))</f>
        <v/>
      </c>
      <c r="G378" s="27" t="str">
        <f aca="false">IF($H378="","",IF(INDEX(Register!$G$11:$G$510,MATCH($H378,Register!$J$11:$J$510,0))="Check details","Check details: "&amp;INDEX(Register!$I$11:$I$510,MATCH($H378,Register!$J$11:$J$510,0)),INDEX(Register!$G$11:$G$510,MATCH($H378,Register!$J$11:$J$510,0))))</f>
        <v/>
      </c>
      <c r="H378" s="28" t="str">
        <f aca="false">IF(372&gt;COUNT(Register!$J$11:$J$510),"",SMALL(Register!$J$11:$J$510,372))</f>
        <v/>
      </c>
    </row>
    <row r="379" customFormat="false" ht="15" hidden="false" customHeight="false" outlineLevel="0" collapsed="false">
      <c r="A379" s="25" t="str">
        <f aca="false">IF($H379="","",INDEX(Register!$A$11:$A$510,MATCH($H379,Register!$J$11:$J$510,0))&amp;"")</f>
        <v/>
      </c>
      <c r="B379" s="25" t="str">
        <f aca="false">IF($H379="","",INDEX(Register!$B$11:$B$510,MATCH($H379,Register!$J$11:$J$510,0))&amp;"")</f>
        <v/>
      </c>
      <c r="C379" s="25" t="str">
        <f aca="false">IF($H379="","",INDEX(Register!$C$11:$C$510,MATCH($H379,Register!$J$11:$J$510,0))&amp;"")</f>
        <v/>
      </c>
      <c r="D379" s="26" t="str">
        <f aca="false">IF($H379="","",IF(ISNUMBER(INDEX(Register!$D$11:$D$510,MATCH($H379,Register!$J$11:$J$510,0))),INDEX(Register!$D$11:$D$510,MATCH($H379,Register!$J$11:$J$510,0)),INDEX(Register!$D$11:$D$510,MATCH($H379,Register!$J$11:$J$510,0))&amp;""))</f>
        <v/>
      </c>
      <c r="E379" s="25" t="str">
        <f aca="false">IF($H379="","",IF(ISNUMBER(INDEX(Register!$E$11:$E$510,MATCH($H379,Register!$J$11:$J$510,0))),INDEX(Register!$E$11:$E$510,MATCH($H379,Register!$J$11:$J$510,0))&amp;" mo",INDEX(Register!$E$11:$E$510,MATCH($H379,Register!$J$11:$J$510,0))&amp;""))</f>
        <v/>
      </c>
      <c r="F379" s="26" t="str">
        <f aca="false">IF($H379="","",INDEX(Register!$F$11:$F$510,MATCH($H379,Register!$J$11:$J$510,0)))</f>
        <v/>
      </c>
      <c r="G379" s="27" t="str">
        <f aca="false">IF($H379="","",IF(INDEX(Register!$G$11:$G$510,MATCH($H379,Register!$J$11:$J$510,0))="Check details","Check details: "&amp;INDEX(Register!$I$11:$I$510,MATCH($H379,Register!$J$11:$J$510,0)),INDEX(Register!$G$11:$G$510,MATCH($H379,Register!$J$11:$J$510,0))))</f>
        <v/>
      </c>
      <c r="H379" s="28" t="str">
        <f aca="false">IF(373&gt;COUNT(Register!$J$11:$J$510),"",SMALL(Register!$J$11:$J$510,373))</f>
        <v/>
      </c>
    </row>
    <row r="380" customFormat="false" ht="15" hidden="false" customHeight="false" outlineLevel="0" collapsed="false">
      <c r="A380" s="25" t="str">
        <f aca="false">IF($H380="","",INDEX(Register!$A$11:$A$510,MATCH($H380,Register!$J$11:$J$510,0))&amp;"")</f>
        <v/>
      </c>
      <c r="B380" s="25" t="str">
        <f aca="false">IF($H380="","",INDEX(Register!$B$11:$B$510,MATCH($H380,Register!$J$11:$J$510,0))&amp;"")</f>
        <v/>
      </c>
      <c r="C380" s="25" t="str">
        <f aca="false">IF($H380="","",INDEX(Register!$C$11:$C$510,MATCH($H380,Register!$J$11:$J$510,0))&amp;"")</f>
        <v/>
      </c>
      <c r="D380" s="26" t="str">
        <f aca="false">IF($H380="","",IF(ISNUMBER(INDEX(Register!$D$11:$D$510,MATCH($H380,Register!$J$11:$J$510,0))),INDEX(Register!$D$11:$D$510,MATCH($H380,Register!$J$11:$J$510,0)),INDEX(Register!$D$11:$D$510,MATCH($H380,Register!$J$11:$J$510,0))&amp;""))</f>
        <v/>
      </c>
      <c r="E380" s="25" t="str">
        <f aca="false">IF($H380="","",IF(ISNUMBER(INDEX(Register!$E$11:$E$510,MATCH($H380,Register!$J$11:$J$510,0))),INDEX(Register!$E$11:$E$510,MATCH($H380,Register!$J$11:$J$510,0))&amp;" mo",INDEX(Register!$E$11:$E$510,MATCH($H380,Register!$J$11:$J$510,0))&amp;""))</f>
        <v/>
      </c>
      <c r="F380" s="26" t="str">
        <f aca="false">IF($H380="","",INDEX(Register!$F$11:$F$510,MATCH($H380,Register!$J$11:$J$510,0)))</f>
        <v/>
      </c>
      <c r="G380" s="27" t="str">
        <f aca="false">IF($H380="","",IF(INDEX(Register!$G$11:$G$510,MATCH($H380,Register!$J$11:$J$510,0))="Check details","Check details: "&amp;INDEX(Register!$I$11:$I$510,MATCH($H380,Register!$J$11:$J$510,0)),INDEX(Register!$G$11:$G$510,MATCH($H380,Register!$J$11:$J$510,0))))</f>
        <v/>
      </c>
      <c r="H380" s="28" t="str">
        <f aca="false">IF(374&gt;COUNT(Register!$J$11:$J$510),"",SMALL(Register!$J$11:$J$510,374))</f>
        <v/>
      </c>
    </row>
    <row r="381" customFormat="false" ht="15" hidden="false" customHeight="false" outlineLevel="0" collapsed="false">
      <c r="A381" s="25" t="str">
        <f aca="false">IF($H381="","",INDEX(Register!$A$11:$A$510,MATCH($H381,Register!$J$11:$J$510,0))&amp;"")</f>
        <v/>
      </c>
      <c r="B381" s="25" t="str">
        <f aca="false">IF($H381="","",INDEX(Register!$B$11:$B$510,MATCH($H381,Register!$J$11:$J$510,0))&amp;"")</f>
        <v/>
      </c>
      <c r="C381" s="25" t="str">
        <f aca="false">IF($H381="","",INDEX(Register!$C$11:$C$510,MATCH($H381,Register!$J$11:$J$510,0))&amp;"")</f>
        <v/>
      </c>
      <c r="D381" s="26" t="str">
        <f aca="false">IF($H381="","",IF(ISNUMBER(INDEX(Register!$D$11:$D$510,MATCH($H381,Register!$J$11:$J$510,0))),INDEX(Register!$D$11:$D$510,MATCH($H381,Register!$J$11:$J$510,0)),INDEX(Register!$D$11:$D$510,MATCH($H381,Register!$J$11:$J$510,0))&amp;""))</f>
        <v/>
      </c>
      <c r="E381" s="25" t="str">
        <f aca="false">IF($H381="","",IF(ISNUMBER(INDEX(Register!$E$11:$E$510,MATCH($H381,Register!$J$11:$J$510,0))),INDEX(Register!$E$11:$E$510,MATCH($H381,Register!$J$11:$J$510,0))&amp;" mo",INDEX(Register!$E$11:$E$510,MATCH($H381,Register!$J$11:$J$510,0))&amp;""))</f>
        <v/>
      </c>
      <c r="F381" s="26" t="str">
        <f aca="false">IF($H381="","",INDEX(Register!$F$11:$F$510,MATCH($H381,Register!$J$11:$J$510,0)))</f>
        <v/>
      </c>
      <c r="G381" s="27" t="str">
        <f aca="false">IF($H381="","",IF(INDEX(Register!$G$11:$G$510,MATCH($H381,Register!$J$11:$J$510,0))="Check details","Check details: "&amp;INDEX(Register!$I$11:$I$510,MATCH($H381,Register!$J$11:$J$510,0)),INDEX(Register!$G$11:$G$510,MATCH($H381,Register!$J$11:$J$510,0))))</f>
        <v/>
      </c>
      <c r="H381" s="28" t="str">
        <f aca="false">IF(375&gt;COUNT(Register!$J$11:$J$510),"",SMALL(Register!$J$11:$J$510,375))</f>
        <v/>
      </c>
    </row>
    <row r="382" customFormat="false" ht="15" hidden="false" customHeight="false" outlineLevel="0" collapsed="false">
      <c r="A382" s="25" t="str">
        <f aca="false">IF($H382="","",INDEX(Register!$A$11:$A$510,MATCH($H382,Register!$J$11:$J$510,0))&amp;"")</f>
        <v/>
      </c>
      <c r="B382" s="25" t="str">
        <f aca="false">IF($H382="","",INDEX(Register!$B$11:$B$510,MATCH($H382,Register!$J$11:$J$510,0))&amp;"")</f>
        <v/>
      </c>
      <c r="C382" s="25" t="str">
        <f aca="false">IF($H382="","",INDEX(Register!$C$11:$C$510,MATCH($H382,Register!$J$11:$J$510,0))&amp;"")</f>
        <v/>
      </c>
      <c r="D382" s="26" t="str">
        <f aca="false">IF($H382="","",IF(ISNUMBER(INDEX(Register!$D$11:$D$510,MATCH($H382,Register!$J$11:$J$510,0))),INDEX(Register!$D$11:$D$510,MATCH($H382,Register!$J$11:$J$510,0)),INDEX(Register!$D$11:$D$510,MATCH($H382,Register!$J$11:$J$510,0))&amp;""))</f>
        <v/>
      </c>
      <c r="E382" s="25" t="str">
        <f aca="false">IF($H382="","",IF(ISNUMBER(INDEX(Register!$E$11:$E$510,MATCH($H382,Register!$J$11:$J$510,0))),INDEX(Register!$E$11:$E$510,MATCH($H382,Register!$J$11:$J$510,0))&amp;" mo",INDEX(Register!$E$11:$E$510,MATCH($H382,Register!$J$11:$J$510,0))&amp;""))</f>
        <v/>
      </c>
      <c r="F382" s="26" t="str">
        <f aca="false">IF($H382="","",INDEX(Register!$F$11:$F$510,MATCH($H382,Register!$J$11:$J$510,0)))</f>
        <v/>
      </c>
      <c r="G382" s="27" t="str">
        <f aca="false">IF($H382="","",IF(INDEX(Register!$G$11:$G$510,MATCH($H382,Register!$J$11:$J$510,0))="Check details","Check details: "&amp;INDEX(Register!$I$11:$I$510,MATCH($H382,Register!$J$11:$J$510,0)),INDEX(Register!$G$11:$G$510,MATCH($H382,Register!$J$11:$J$510,0))))</f>
        <v/>
      </c>
      <c r="H382" s="28" t="str">
        <f aca="false">IF(376&gt;COUNT(Register!$J$11:$J$510),"",SMALL(Register!$J$11:$J$510,376))</f>
        <v/>
      </c>
    </row>
    <row r="383" customFormat="false" ht="15" hidden="false" customHeight="false" outlineLevel="0" collapsed="false">
      <c r="A383" s="25" t="str">
        <f aca="false">IF($H383="","",INDEX(Register!$A$11:$A$510,MATCH($H383,Register!$J$11:$J$510,0))&amp;"")</f>
        <v/>
      </c>
      <c r="B383" s="25" t="str">
        <f aca="false">IF($H383="","",INDEX(Register!$B$11:$B$510,MATCH($H383,Register!$J$11:$J$510,0))&amp;"")</f>
        <v/>
      </c>
      <c r="C383" s="25" t="str">
        <f aca="false">IF($H383="","",INDEX(Register!$C$11:$C$510,MATCH($H383,Register!$J$11:$J$510,0))&amp;"")</f>
        <v/>
      </c>
      <c r="D383" s="26" t="str">
        <f aca="false">IF($H383="","",IF(ISNUMBER(INDEX(Register!$D$11:$D$510,MATCH($H383,Register!$J$11:$J$510,0))),INDEX(Register!$D$11:$D$510,MATCH($H383,Register!$J$11:$J$510,0)),INDEX(Register!$D$11:$D$510,MATCH($H383,Register!$J$11:$J$510,0))&amp;""))</f>
        <v/>
      </c>
      <c r="E383" s="25" t="str">
        <f aca="false">IF($H383="","",IF(ISNUMBER(INDEX(Register!$E$11:$E$510,MATCH($H383,Register!$J$11:$J$510,0))),INDEX(Register!$E$11:$E$510,MATCH($H383,Register!$J$11:$J$510,0))&amp;" mo",INDEX(Register!$E$11:$E$510,MATCH($H383,Register!$J$11:$J$510,0))&amp;""))</f>
        <v/>
      </c>
      <c r="F383" s="26" t="str">
        <f aca="false">IF($H383="","",INDEX(Register!$F$11:$F$510,MATCH($H383,Register!$J$11:$J$510,0)))</f>
        <v/>
      </c>
      <c r="G383" s="27" t="str">
        <f aca="false">IF($H383="","",IF(INDEX(Register!$G$11:$G$510,MATCH($H383,Register!$J$11:$J$510,0))="Check details","Check details: "&amp;INDEX(Register!$I$11:$I$510,MATCH($H383,Register!$J$11:$J$510,0)),INDEX(Register!$G$11:$G$510,MATCH($H383,Register!$J$11:$J$510,0))))</f>
        <v/>
      </c>
      <c r="H383" s="28" t="str">
        <f aca="false">IF(377&gt;COUNT(Register!$J$11:$J$510),"",SMALL(Register!$J$11:$J$510,377))</f>
        <v/>
      </c>
    </row>
    <row r="384" customFormat="false" ht="15" hidden="false" customHeight="false" outlineLevel="0" collapsed="false">
      <c r="A384" s="25" t="str">
        <f aca="false">IF($H384="","",INDEX(Register!$A$11:$A$510,MATCH($H384,Register!$J$11:$J$510,0))&amp;"")</f>
        <v/>
      </c>
      <c r="B384" s="25" t="str">
        <f aca="false">IF($H384="","",INDEX(Register!$B$11:$B$510,MATCH($H384,Register!$J$11:$J$510,0))&amp;"")</f>
        <v/>
      </c>
      <c r="C384" s="25" t="str">
        <f aca="false">IF($H384="","",INDEX(Register!$C$11:$C$510,MATCH($H384,Register!$J$11:$J$510,0))&amp;"")</f>
        <v/>
      </c>
      <c r="D384" s="26" t="str">
        <f aca="false">IF($H384="","",IF(ISNUMBER(INDEX(Register!$D$11:$D$510,MATCH($H384,Register!$J$11:$J$510,0))),INDEX(Register!$D$11:$D$510,MATCH($H384,Register!$J$11:$J$510,0)),INDEX(Register!$D$11:$D$510,MATCH($H384,Register!$J$11:$J$510,0))&amp;""))</f>
        <v/>
      </c>
      <c r="E384" s="25" t="str">
        <f aca="false">IF($H384="","",IF(ISNUMBER(INDEX(Register!$E$11:$E$510,MATCH($H384,Register!$J$11:$J$510,0))),INDEX(Register!$E$11:$E$510,MATCH($H384,Register!$J$11:$J$510,0))&amp;" mo",INDEX(Register!$E$11:$E$510,MATCH($H384,Register!$J$11:$J$510,0))&amp;""))</f>
        <v/>
      </c>
      <c r="F384" s="26" t="str">
        <f aca="false">IF($H384="","",INDEX(Register!$F$11:$F$510,MATCH($H384,Register!$J$11:$J$510,0)))</f>
        <v/>
      </c>
      <c r="G384" s="27" t="str">
        <f aca="false">IF($H384="","",IF(INDEX(Register!$G$11:$G$510,MATCH($H384,Register!$J$11:$J$510,0))="Check details","Check details: "&amp;INDEX(Register!$I$11:$I$510,MATCH($H384,Register!$J$11:$J$510,0)),INDEX(Register!$G$11:$G$510,MATCH($H384,Register!$J$11:$J$510,0))))</f>
        <v/>
      </c>
      <c r="H384" s="28" t="str">
        <f aca="false">IF(378&gt;COUNT(Register!$J$11:$J$510),"",SMALL(Register!$J$11:$J$510,378))</f>
        <v/>
      </c>
    </row>
    <row r="385" customFormat="false" ht="15" hidden="false" customHeight="false" outlineLevel="0" collapsed="false">
      <c r="A385" s="25" t="str">
        <f aca="false">IF($H385="","",INDEX(Register!$A$11:$A$510,MATCH($H385,Register!$J$11:$J$510,0))&amp;"")</f>
        <v/>
      </c>
      <c r="B385" s="25" t="str">
        <f aca="false">IF($H385="","",INDEX(Register!$B$11:$B$510,MATCH($H385,Register!$J$11:$J$510,0))&amp;"")</f>
        <v/>
      </c>
      <c r="C385" s="25" t="str">
        <f aca="false">IF($H385="","",INDEX(Register!$C$11:$C$510,MATCH($H385,Register!$J$11:$J$510,0))&amp;"")</f>
        <v/>
      </c>
      <c r="D385" s="26" t="str">
        <f aca="false">IF($H385="","",IF(ISNUMBER(INDEX(Register!$D$11:$D$510,MATCH($H385,Register!$J$11:$J$510,0))),INDEX(Register!$D$11:$D$510,MATCH($H385,Register!$J$11:$J$510,0)),INDEX(Register!$D$11:$D$510,MATCH($H385,Register!$J$11:$J$510,0))&amp;""))</f>
        <v/>
      </c>
      <c r="E385" s="25" t="str">
        <f aca="false">IF($H385="","",IF(ISNUMBER(INDEX(Register!$E$11:$E$510,MATCH($H385,Register!$J$11:$J$510,0))),INDEX(Register!$E$11:$E$510,MATCH($H385,Register!$J$11:$J$510,0))&amp;" mo",INDEX(Register!$E$11:$E$510,MATCH($H385,Register!$J$11:$J$510,0))&amp;""))</f>
        <v/>
      </c>
      <c r="F385" s="26" t="str">
        <f aca="false">IF($H385="","",INDEX(Register!$F$11:$F$510,MATCH($H385,Register!$J$11:$J$510,0)))</f>
        <v/>
      </c>
      <c r="G385" s="27" t="str">
        <f aca="false">IF($H385="","",IF(INDEX(Register!$G$11:$G$510,MATCH($H385,Register!$J$11:$J$510,0))="Check details","Check details: "&amp;INDEX(Register!$I$11:$I$510,MATCH($H385,Register!$J$11:$J$510,0)),INDEX(Register!$G$11:$G$510,MATCH($H385,Register!$J$11:$J$510,0))))</f>
        <v/>
      </c>
      <c r="H385" s="28" t="str">
        <f aca="false">IF(379&gt;COUNT(Register!$J$11:$J$510),"",SMALL(Register!$J$11:$J$510,379))</f>
        <v/>
      </c>
    </row>
    <row r="386" customFormat="false" ht="15" hidden="false" customHeight="false" outlineLevel="0" collapsed="false">
      <c r="A386" s="25" t="str">
        <f aca="false">IF($H386="","",INDEX(Register!$A$11:$A$510,MATCH($H386,Register!$J$11:$J$510,0))&amp;"")</f>
        <v/>
      </c>
      <c r="B386" s="25" t="str">
        <f aca="false">IF($H386="","",INDEX(Register!$B$11:$B$510,MATCH($H386,Register!$J$11:$J$510,0))&amp;"")</f>
        <v/>
      </c>
      <c r="C386" s="25" t="str">
        <f aca="false">IF($H386="","",INDEX(Register!$C$11:$C$510,MATCH($H386,Register!$J$11:$J$510,0))&amp;"")</f>
        <v/>
      </c>
      <c r="D386" s="26" t="str">
        <f aca="false">IF($H386="","",IF(ISNUMBER(INDEX(Register!$D$11:$D$510,MATCH($H386,Register!$J$11:$J$510,0))),INDEX(Register!$D$11:$D$510,MATCH($H386,Register!$J$11:$J$510,0)),INDEX(Register!$D$11:$D$510,MATCH($H386,Register!$J$11:$J$510,0))&amp;""))</f>
        <v/>
      </c>
      <c r="E386" s="25" t="str">
        <f aca="false">IF($H386="","",IF(ISNUMBER(INDEX(Register!$E$11:$E$510,MATCH($H386,Register!$J$11:$J$510,0))),INDEX(Register!$E$11:$E$510,MATCH($H386,Register!$J$11:$J$510,0))&amp;" mo",INDEX(Register!$E$11:$E$510,MATCH($H386,Register!$J$11:$J$510,0))&amp;""))</f>
        <v/>
      </c>
      <c r="F386" s="26" t="str">
        <f aca="false">IF($H386="","",INDEX(Register!$F$11:$F$510,MATCH($H386,Register!$J$11:$J$510,0)))</f>
        <v/>
      </c>
      <c r="G386" s="27" t="str">
        <f aca="false">IF($H386="","",IF(INDEX(Register!$G$11:$G$510,MATCH($H386,Register!$J$11:$J$510,0))="Check details","Check details: "&amp;INDEX(Register!$I$11:$I$510,MATCH($H386,Register!$J$11:$J$510,0)),INDEX(Register!$G$11:$G$510,MATCH($H386,Register!$J$11:$J$510,0))))</f>
        <v/>
      </c>
      <c r="H386" s="28" t="str">
        <f aca="false">IF(380&gt;COUNT(Register!$J$11:$J$510),"",SMALL(Register!$J$11:$J$510,380))</f>
        <v/>
      </c>
    </row>
    <row r="387" customFormat="false" ht="15" hidden="false" customHeight="false" outlineLevel="0" collapsed="false">
      <c r="A387" s="25" t="str">
        <f aca="false">IF($H387="","",INDEX(Register!$A$11:$A$510,MATCH($H387,Register!$J$11:$J$510,0))&amp;"")</f>
        <v/>
      </c>
      <c r="B387" s="25" t="str">
        <f aca="false">IF($H387="","",INDEX(Register!$B$11:$B$510,MATCH($H387,Register!$J$11:$J$510,0))&amp;"")</f>
        <v/>
      </c>
      <c r="C387" s="25" t="str">
        <f aca="false">IF($H387="","",INDEX(Register!$C$11:$C$510,MATCH($H387,Register!$J$11:$J$510,0))&amp;"")</f>
        <v/>
      </c>
      <c r="D387" s="26" t="str">
        <f aca="false">IF($H387="","",IF(ISNUMBER(INDEX(Register!$D$11:$D$510,MATCH($H387,Register!$J$11:$J$510,0))),INDEX(Register!$D$11:$D$510,MATCH($H387,Register!$J$11:$J$510,0)),INDEX(Register!$D$11:$D$510,MATCH($H387,Register!$J$11:$J$510,0))&amp;""))</f>
        <v/>
      </c>
      <c r="E387" s="25" t="str">
        <f aca="false">IF($H387="","",IF(ISNUMBER(INDEX(Register!$E$11:$E$510,MATCH($H387,Register!$J$11:$J$510,0))),INDEX(Register!$E$11:$E$510,MATCH($H387,Register!$J$11:$J$510,0))&amp;" mo",INDEX(Register!$E$11:$E$510,MATCH($H387,Register!$J$11:$J$510,0))&amp;""))</f>
        <v/>
      </c>
      <c r="F387" s="26" t="str">
        <f aca="false">IF($H387="","",INDEX(Register!$F$11:$F$510,MATCH($H387,Register!$J$11:$J$510,0)))</f>
        <v/>
      </c>
      <c r="G387" s="27" t="str">
        <f aca="false">IF($H387="","",IF(INDEX(Register!$G$11:$G$510,MATCH($H387,Register!$J$11:$J$510,0))="Check details","Check details: "&amp;INDEX(Register!$I$11:$I$510,MATCH($H387,Register!$J$11:$J$510,0)),INDEX(Register!$G$11:$G$510,MATCH($H387,Register!$J$11:$J$510,0))))</f>
        <v/>
      </c>
      <c r="H387" s="28" t="str">
        <f aca="false">IF(381&gt;COUNT(Register!$J$11:$J$510),"",SMALL(Register!$J$11:$J$510,381))</f>
        <v/>
      </c>
    </row>
    <row r="388" customFormat="false" ht="15" hidden="false" customHeight="false" outlineLevel="0" collapsed="false">
      <c r="A388" s="25" t="str">
        <f aca="false">IF($H388="","",INDEX(Register!$A$11:$A$510,MATCH($H388,Register!$J$11:$J$510,0))&amp;"")</f>
        <v/>
      </c>
      <c r="B388" s="25" t="str">
        <f aca="false">IF($H388="","",INDEX(Register!$B$11:$B$510,MATCH($H388,Register!$J$11:$J$510,0))&amp;"")</f>
        <v/>
      </c>
      <c r="C388" s="25" t="str">
        <f aca="false">IF($H388="","",INDEX(Register!$C$11:$C$510,MATCH($H388,Register!$J$11:$J$510,0))&amp;"")</f>
        <v/>
      </c>
      <c r="D388" s="26" t="str">
        <f aca="false">IF($H388="","",IF(ISNUMBER(INDEX(Register!$D$11:$D$510,MATCH($H388,Register!$J$11:$J$510,0))),INDEX(Register!$D$11:$D$510,MATCH($H388,Register!$J$11:$J$510,0)),INDEX(Register!$D$11:$D$510,MATCH($H388,Register!$J$11:$J$510,0))&amp;""))</f>
        <v/>
      </c>
      <c r="E388" s="25" t="str">
        <f aca="false">IF($H388="","",IF(ISNUMBER(INDEX(Register!$E$11:$E$510,MATCH($H388,Register!$J$11:$J$510,0))),INDEX(Register!$E$11:$E$510,MATCH($H388,Register!$J$11:$J$510,0))&amp;" mo",INDEX(Register!$E$11:$E$510,MATCH($H388,Register!$J$11:$J$510,0))&amp;""))</f>
        <v/>
      </c>
      <c r="F388" s="26" t="str">
        <f aca="false">IF($H388="","",INDEX(Register!$F$11:$F$510,MATCH($H388,Register!$J$11:$J$510,0)))</f>
        <v/>
      </c>
      <c r="G388" s="27" t="str">
        <f aca="false">IF($H388="","",IF(INDEX(Register!$G$11:$G$510,MATCH($H388,Register!$J$11:$J$510,0))="Check details","Check details: "&amp;INDEX(Register!$I$11:$I$510,MATCH($H388,Register!$J$11:$J$510,0)),INDEX(Register!$G$11:$G$510,MATCH($H388,Register!$J$11:$J$510,0))))</f>
        <v/>
      </c>
      <c r="H388" s="28" t="str">
        <f aca="false">IF(382&gt;COUNT(Register!$J$11:$J$510),"",SMALL(Register!$J$11:$J$510,382))</f>
        <v/>
      </c>
    </row>
    <row r="389" customFormat="false" ht="15" hidden="false" customHeight="false" outlineLevel="0" collapsed="false">
      <c r="A389" s="25" t="str">
        <f aca="false">IF($H389="","",INDEX(Register!$A$11:$A$510,MATCH($H389,Register!$J$11:$J$510,0))&amp;"")</f>
        <v/>
      </c>
      <c r="B389" s="25" t="str">
        <f aca="false">IF($H389="","",INDEX(Register!$B$11:$B$510,MATCH($H389,Register!$J$11:$J$510,0))&amp;"")</f>
        <v/>
      </c>
      <c r="C389" s="25" t="str">
        <f aca="false">IF($H389="","",INDEX(Register!$C$11:$C$510,MATCH($H389,Register!$J$11:$J$510,0))&amp;"")</f>
        <v/>
      </c>
      <c r="D389" s="26" t="str">
        <f aca="false">IF($H389="","",IF(ISNUMBER(INDEX(Register!$D$11:$D$510,MATCH($H389,Register!$J$11:$J$510,0))),INDEX(Register!$D$11:$D$510,MATCH($H389,Register!$J$11:$J$510,0)),INDEX(Register!$D$11:$D$510,MATCH($H389,Register!$J$11:$J$510,0))&amp;""))</f>
        <v/>
      </c>
      <c r="E389" s="25" t="str">
        <f aca="false">IF($H389="","",IF(ISNUMBER(INDEX(Register!$E$11:$E$510,MATCH($H389,Register!$J$11:$J$510,0))),INDEX(Register!$E$11:$E$510,MATCH($H389,Register!$J$11:$J$510,0))&amp;" mo",INDEX(Register!$E$11:$E$510,MATCH($H389,Register!$J$11:$J$510,0))&amp;""))</f>
        <v/>
      </c>
      <c r="F389" s="26" t="str">
        <f aca="false">IF($H389="","",INDEX(Register!$F$11:$F$510,MATCH($H389,Register!$J$11:$J$510,0)))</f>
        <v/>
      </c>
      <c r="G389" s="27" t="str">
        <f aca="false">IF($H389="","",IF(INDEX(Register!$G$11:$G$510,MATCH($H389,Register!$J$11:$J$510,0))="Check details","Check details: "&amp;INDEX(Register!$I$11:$I$510,MATCH($H389,Register!$J$11:$J$510,0)),INDEX(Register!$G$11:$G$510,MATCH($H389,Register!$J$11:$J$510,0))))</f>
        <v/>
      </c>
      <c r="H389" s="28" t="str">
        <f aca="false">IF(383&gt;COUNT(Register!$J$11:$J$510),"",SMALL(Register!$J$11:$J$510,383))</f>
        <v/>
      </c>
    </row>
    <row r="390" customFormat="false" ht="15" hidden="false" customHeight="false" outlineLevel="0" collapsed="false">
      <c r="A390" s="25" t="str">
        <f aca="false">IF($H390="","",INDEX(Register!$A$11:$A$510,MATCH($H390,Register!$J$11:$J$510,0))&amp;"")</f>
        <v/>
      </c>
      <c r="B390" s="25" t="str">
        <f aca="false">IF($H390="","",INDEX(Register!$B$11:$B$510,MATCH($H390,Register!$J$11:$J$510,0))&amp;"")</f>
        <v/>
      </c>
      <c r="C390" s="25" t="str">
        <f aca="false">IF($H390="","",INDEX(Register!$C$11:$C$510,MATCH($H390,Register!$J$11:$J$510,0))&amp;"")</f>
        <v/>
      </c>
      <c r="D390" s="26" t="str">
        <f aca="false">IF($H390="","",IF(ISNUMBER(INDEX(Register!$D$11:$D$510,MATCH($H390,Register!$J$11:$J$510,0))),INDEX(Register!$D$11:$D$510,MATCH($H390,Register!$J$11:$J$510,0)),INDEX(Register!$D$11:$D$510,MATCH($H390,Register!$J$11:$J$510,0))&amp;""))</f>
        <v/>
      </c>
      <c r="E390" s="25" t="str">
        <f aca="false">IF($H390="","",IF(ISNUMBER(INDEX(Register!$E$11:$E$510,MATCH($H390,Register!$J$11:$J$510,0))),INDEX(Register!$E$11:$E$510,MATCH($H390,Register!$J$11:$J$510,0))&amp;" mo",INDEX(Register!$E$11:$E$510,MATCH($H390,Register!$J$11:$J$510,0))&amp;""))</f>
        <v/>
      </c>
      <c r="F390" s="26" t="str">
        <f aca="false">IF($H390="","",INDEX(Register!$F$11:$F$510,MATCH($H390,Register!$J$11:$J$510,0)))</f>
        <v/>
      </c>
      <c r="G390" s="27" t="str">
        <f aca="false">IF($H390="","",IF(INDEX(Register!$G$11:$G$510,MATCH($H390,Register!$J$11:$J$510,0))="Check details","Check details: "&amp;INDEX(Register!$I$11:$I$510,MATCH($H390,Register!$J$11:$J$510,0)),INDEX(Register!$G$11:$G$510,MATCH($H390,Register!$J$11:$J$510,0))))</f>
        <v/>
      </c>
      <c r="H390" s="28" t="str">
        <f aca="false">IF(384&gt;COUNT(Register!$J$11:$J$510),"",SMALL(Register!$J$11:$J$510,384))</f>
        <v/>
      </c>
    </row>
    <row r="391" customFormat="false" ht="15" hidden="false" customHeight="false" outlineLevel="0" collapsed="false">
      <c r="A391" s="25" t="str">
        <f aca="false">IF($H391="","",INDEX(Register!$A$11:$A$510,MATCH($H391,Register!$J$11:$J$510,0))&amp;"")</f>
        <v/>
      </c>
      <c r="B391" s="25" t="str">
        <f aca="false">IF($H391="","",INDEX(Register!$B$11:$B$510,MATCH($H391,Register!$J$11:$J$510,0))&amp;"")</f>
        <v/>
      </c>
      <c r="C391" s="25" t="str">
        <f aca="false">IF($H391="","",INDEX(Register!$C$11:$C$510,MATCH($H391,Register!$J$11:$J$510,0))&amp;"")</f>
        <v/>
      </c>
      <c r="D391" s="26" t="str">
        <f aca="false">IF($H391="","",IF(ISNUMBER(INDEX(Register!$D$11:$D$510,MATCH($H391,Register!$J$11:$J$510,0))),INDEX(Register!$D$11:$D$510,MATCH($H391,Register!$J$11:$J$510,0)),INDEX(Register!$D$11:$D$510,MATCH($H391,Register!$J$11:$J$510,0))&amp;""))</f>
        <v/>
      </c>
      <c r="E391" s="25" t="str">
        <f aca="false">IF($H391="","",IF(ISNUMBER(INDEX(Register!$E$11:$E$510,MATCH($H391,Register!$J$11:$J$510,0))),INDEX(Register!$E$11:$E$510,MATCH($H391,Register!$J$11:$J$510,0))&amp;" mo",INDEX(Register!$E$11:$E$510,MATCH($H391,Register!$J$11:$J$510,0))&amp;""))</f>
        <v/>
      </c>
      <c r="F391" s="26" t="str">
        <f aca="false">IF($H391="","",INDEX(Register!$F$11:$F$510,MATCH($H391,Register!$J$11:$J$510,0)))</f>
        <v/>
      </c>
      <c r="G391" s="27" t="str">
        <f aca="false">IF($H391="","",IF(INDEX(Register!$G$11:$G$510,MATCH($H391,Register!$J$11:$J$510,0))="Check details","Check details: "&amp;INDEX(Register!$I$11:$I$510,MATCH($H391,Register!$J$11:$J$510,0)),INDEX(Register!$G$11:$G$510,MATCH($H391,Register!$J$11:$J$510,0))))</f>
        <v/>
      </c>
      <c r="H391" s="28" t="str">
        <f aca="false">IF(385&gt;COUNT(Register!$J$11:$J$510),"",SMALL(Register!$J$11:$J$510,385))</f>
        <v/>
      </c>
    </row>
    <row r="392" customFormat="false" ht="15" hidden="false" customHeight="false" outlineLevel="0" collapsed="false">
      <c r="A392" s="25" t="str">
        <f aca="false">IF($H392="","",INDEX(Register!$A$11:$A$510,MATCH($H392,Register!$J$11:$J$510,0))&amp;"")</f>
        <v/>
      </c>
      <c r="B392" s="25" t="str">
        <f aca="false">IF($H392="","",INDEX(Register!$B$11:$B$510,MATCH($H392,Register!$J$11:$J$510,0))&amp;"")</f>
        <v/>
      </c>
      <c r="C392" s="25" t="str">
        <f aca="false">IF($H392="","",INDEX(Register!$C$11:$C$510,MATCH($H392,Register!$J$11:$J$510,0))&amp;"")</f>
        <v/>
      </c>
      <c r="D392" s="26" t="str">
        <f aca="false">IF($H392="","",IF(ISNUMBER(INDEX(Register!$D$11:$D$510,MATCH($H392,Register!$J$11:$J$510,0))),INDEX(Register!$D$11:$D$510,MATCH($H392,Register!$J$11:$J$510,0)),INDEX(Register!$D$11:$D$510,MATCH($H392,Register!$J$11:$J$510,0))&amp;""))</f>
        <v/>
      </c>
      <c r="E392" s="25" t="str">
        <f aca="false">IF($H392="","",IF(ISNUMBER(INDEX(Register!$E$11:$E$510,MATCH($H392,Register!$J$11:$J$510,0))),INDEX(Register!$E$11:$E$510,MATCH($H392,Register!$J$11:$J$510,0))&amp;" mo",INDEX(Register!$E$11:$E$510,MATCH($H392,Register!$J$11:$J$510,0))&amp;""))</f>
        <v/>
      </c>
      <c r="F392" s="26" t="str">
        <f aca="false">IF($H392="","",INDEX(Register!$F$11:$F$510,MATCH($H392,Register!$J$11:$J$510,0)))</f>
        <v/>
      </c>
      <c r="G392" s="27" t="str">
        <f aca="false">IF($H392="","",IF(INDEX(Register!$G$11:$G$510,MATCH($H392,Register!$J$11:$J$510,0))="Check details","Check details: "&amp;INDEX(Register!$I$11:$I$510,MATCH($H392,Register!$J$11:$J$510,0)),INDEX(Register!$G$11:$G$510,MATCH($H392,Register!$J$11:$J$510,0))))</f>
        <v/>
      </c>
      <c r="H392" s="28" t="str">
        <f aca="false">IF(386&gt;COUNT(Register!$J$11:$J$510),"",SMALL(Register!$J$11:$J$510,386))</f>
        <v/>
      </c>
    </row>
    <row r="393" customFormat="false" ht="15" hidden="false" customHeight="false" outlineLevel="0" collapsed="false">
      <c r="A393" s="25" t="str">
        <f aca="false">IF($H393="","",INDEX(Register!$A$11:$A$510,MATCH($H393,Register!$J$11:$J$510,0))&amp;"")</f>
        <v/>
      </c>
      <c r="B393" s="25" t="str">
        <f aca="false">IF($H393="","",INDEX(Register!$B$11:$B$510,MATCH($H393,Register!$J$11:$J$510,0))&amp;"")</f>
        <v/>
      </c>
      <c r="C393" s="25" t="str">
        <f aca="false">IF($H393="","",INDEX(Register!$C$11:$C$510,MATCH($H393,Register!$J$11:$J$510,0))&amp;"")</f>
        <v/>
      </c>
      <c r="D393" s="26" t="str">
        <f aca="false">IF($H393="","",IF(ISNUMBER(INDEX(Register!$D$11:$D$510,MATCH($H393,Register!$J$11:$J$510,0))),INDEX(Register!$D$11:$D$510,MATCH($H393,Register!$J$11:$J$510,0)),INDEX(Register!$D$11:$D$510,MATCH($H393,Register!$J$11:$J$510,0))&amp;""))</f>
        <v/>
      </c>
      <c r="E393" s="25" t="str">
        <f aca="false">IF($H393="","",IF(ISNUMBER(INDEX(Register!$E$11:$E$510,MATCH($H393,Register!$J$11:$J$510,0))),INDEX(Register!$E$11:$E$510,MATCH($H393,Register!$J$11:$J$510,0))&amp;" mo",INDEX(Register!$E$11:$E$510,MATCH($H393,Register!$J$11:$J$510,0))&amp;""))</f>
        <v/>
      </c>
      <c r="F393" s="26" t="str">
        <f aca="false">IF($H393="","",INDEX(Register!$F$11:$F$510,MATCH($H393,Register!$J$11:$J$510,0)))</f>
        <v/>
      </c>
      <c r="G393" s="27" t="str">
        <f aca="false">IF($H393="","",IF(INDEX(Register!$G$11:$G$510,MATCH($H393,Register!$J$11:$J$510,0))="Check details","Check details: "&amp;INDEX(Register!$I$11:$I$510,MATCH($H393,Register!$J$11:$J$510,0)),INDEX(Register!$G$11:$G$510,MATCH($H393,Register!$J$11:$J$510,0))))</f>
        <v/>
      </c>
      <c r="H393" s="28" t="str">
        <f aca="false">IF(387&gt;COUNT(Register!$J$11:$J$510),"",SMALL(Register!$J$11:$J$510,387))</f>
        <v/>
      </c>
    </row>
    <row r="394" customFormat="false" ht="15" hidden="false" customHeight="false" outlineLevel="0" collapsed="false">
      <c r="A394" s="25" t="str">
        <f aca="false">IF($H394="","",INDEX(Register!$A$11:$A$510,MATCH($H394,Register!$J$11:$J$510,0))&amp;"")</f>
        <v/>
      </c>
      <c r="B394" s="25" t="str">
        <f aca="false">IF($H394="","",INDEX(Register!$B$11:$B$510,MATCH($H394,Register!$J$11:$J$510,0))&amp;"")</f>
        <v/>
      </c>
      <c r="C394" s="25" t="str">
        <f aca="false">IF($H394="","",INDEX(Register!$C$11:$C$510,MATCH($H394,Register!$J$11:$J$510,0))&amp;"")</f>
        <v/>
      </c>
      <c r="D394" s="26" t="str">
        <f aca="false">IF($H394="","",IF(ISNUMBER(INDEX(Register!$D$11:$D$510,MATCH($H394,Register!$J$11:$J$510,0))),INDEX(Register!$D$11:$D$510,MATCH($H394,Register!$J$11:$J$510,0)),INDEX(Register!$D$11:$D$510,MATCH($H394,Register!$J$11:$J$510,0))&amp;""))</f>
        <v/>
      </c>
      <c r="E394" s="25" t="str">
        <f aca="false">IF($H394="","",IF(ISNUMBER(INDEX(Register!$E$11:$E$510,MATCH($H394,Register!$J$11:$J$510,0))),INDEX(Register!$E$11:$E$510,MATCH($H394,Register!$J$11:$J$510,0))&amp;" mo",INDEX(Register!$E$11:$E$510,MATCH($H394,Register!$J$11:$J$510,0))&amp;""))</f>
        <v/>
      </c>
      <c r="F394" s="26" t="str">
        <f aca="false">IF($H394="","",INDEX(Register!$F$11:$F$510,MATCH($H394,Register!$J$11:$J$510,0)))</f>
        <v/>
      </c>
      <c r="G394" s="27" t="str">
        <f aca="false">IF($H394="","",IF(INDEX(Register!$G$11:$G$510,MATCH($H394,Register!$J$11:$J$510,0))="Check details","Check details: "&amp;INDEX(Register!$I$11:$I$510,MATCH($H394,Register!$J$11:$J$510,0)),INDEX(Register!$G$11:$G$510,MATCH($H394,Register!$J$11:$J$510,0))))</f>
        <v/>
      </c>
      <c r="H394" s="28" t="str">
        <f aca="false">IF(388&gt;COUNT(Register!$J$11:$J$510),"",SMALL(Register!$J$11:$J$510,388))</f>
        <v/>
      </c>
    </row>
    <row r="395" customFormat="false" ht="15" hidden="false" customHeight="false" outlineLevel="0" collapsed="false">
      <c r="A395" s="25" t="str">
        <f aca="false">IF($H395="","",INDEX(Register!$A$11:$A$510,MATCH($H395,Register!$J$11:$J$510,0))&amp;"")</f>
        <v/>
      </c>
      <c r="B395" s="25" t="str">
        <f aca="false">IF($H395="","",INDEX(Register!$B$11:$B$510,MATCH($H395,Register!$J$11:$J$510,0))&amp;"")</f>
        <v/>
      </c>
      <c r="C395" s="25" t="str">
        <f aca="false">IF($H395="","",INDEX(Register!$C$11:$C$510,MATCH($H395,Register!$J$11:$J$510,0))&amp;"")</f>
        <v/>
      </c>
      <c r="D395" s="26" t="str">
        <f aca="false">IF($H395="","",IF(ISNUMBER(INDEX(Register!$D$11:$D$510,MATCH($H395,Register!$J$11:$J$510,0))),INDEX(Register!$D$11:$D$510,MATCH($H395,Register!$J$11:$J$510,0)),INDEX(Register!$D$11:$D$510,MATCH($H395,Register!$J$11:$J$510,0))&amp;""))</f>
        <v/>
      </c>
      <c r="E395" s="25" t="str">
        <f aca="false">IF($H395="","",IF(ISNUMBER(INDEX(Register!$E$11:$E$510,MATCH($H395,Register!$J$11:$J$510,0))),INDEX(Register!$E$11:$E$510,MATCH($H395,Register!$J$11:$J$510,0))&amp;" mo",INDEX(Register!$E$11:$E$510,MATCH($H395,Register!$J$11:$J$510,0))&amp;""))</f>
        <v/>
      </c>
      <c r="F395" s="26" t="str">
        <f aca="false">IF($H395="","",INDEX(Register!$F$11:$F$510,MATCH($H395,Register!$J$11:$J$510,0)))</f>
        <v/>
      </c>
      <c r="G395" s="27" t="str">
        <f aca="false">IF($H395="","",IF(INDEX(Register!$G$11:$G$510,MATCH($H395,Register!$J$11:$J$510,0))="Check details","Check details: "&amp;INDEX(Register!$I$11:$I$510,MATCH($H395,Register!$J$11:$J$510,0)),INDEX(Register!$G$11:$G$510,MATCH($H395,Register!$J$11:$J$510,0))))</f>
        <v/>
      </c>
      <c r="H395" s="28" t="str">
        <f aca="false">IF(389&gt;COUNT(Register!$J$11:$J$510),"",SMALL(Register!$J$11:$J$510,389))</f>
        <v/>
      </c>
    </row>
    <row r="396" customFormat="false" ht="15" hidden="false" customHeight="false" outlineLevel="0" collapsed="false">
      <c r="A396" s="25" t="str">
        <f aca="false">IF($H396="","",INDEX(Register!$A$11:$A$510,MATCH($H396,Register!$J$11:$J$510,0))&amp;"")</f>
        <v/>
      </c>
      <c r="B396" s="25" t="str">
        <f aca="false">IF($H396="","",INDEX(Register!$B$11:$B$510,MATCH($H396,Register!$J$11:$J$510,0))&amp;"")</f>
        <v/>
      </c>
      <c r="C396" s="25" t="str">
        <f aca="false">IF($H396="","",INDEX(Register!$C$11:$C$510,MATCH($H396,Register!$J$11:$J$510,0))&amp;"")</f>
        <v/>
      </c>
      <c r="D396" s="26" t="str">
        <f aca="false">IF($H396="","",IF(ISNUMBER(INDEX(Register!$D$11:$D$510,MATCH($H396,Register!$J$11:$J$510,0))),INDEX(Register!$D$11:$D$510,MATCH($H396,Register!$J$11:$J$510,0)),INDEX(Register!$D$11:$D$510,MATCH($H396,Register!$J$11:$J$510,0))&amp;""))</f>
        <v/>
      </c>
      <c r="E396" s="25" t="str">
        <f aca="false">IF($H396="","",IF(ISNUMBER(INDEX(Register!$E$11:$E$510,MATCH($H396,Register!$J$11:$J$510,0))),INDEX(Register!$E$11:$E$510,MATCH($H396,Register!$J$11:$J$510,0))&amp;" mo",INDEX(Register!$E$11:$E$510,MATCH($H396,Register!$J$11:$J$510,0))&amp;""))</f>
        <v/>
      </c>
      <c r="F396" s="26" t="str">
        <f aca="false">IF($H396="","",INDEX(Register!$F$11:$F$510,MATCH($H396,Register!$J$11:$J$510,0)))</f>
        <v/>
      </c>
      <c r="G396" s="27" t="str">
        <f aca="false">IF($H396="","",IF(INDEX(Register!$G$11:$G$510,MATCH($H396,Register!$J$11:$J$510,0))="Check details","Check details: "&amp;INDEX(Register!$I$11:$I$510,MATCH($H396,Register!$J$11:$J$510,0)),INDEX(Register!$G$11:$G$510,MATCH($H396,Register!$J$11:$J$510,0))))</f>
        <v/>
      </c>
      <c r="H396" s="28" t="str">
        <f aca="false">IF(390&gt;COUNT(Register!$J$11:$J$510),"",SMALL(Register!$J$11:$J$510,390))</f>
        <v/>
      </c>
    </row>
    <row r="397" customFormat="false" ht="15" hidden="false" customHeight="false" outlineLevel="0" collapsed="false">
      <c r="A397" s="25" t="str">
        <f aca="false">IF($H397="","",INDEX(Register!$A$11:$A$510,MATCH($H397,Register!$J$11:$J$510,0))&amp;"")</f>
        <v/>
      </c>
      <c r="B397" s="25" t="str">
        <f aca="false">IF($H397="","",INDEX(Register!$B$11:$B$510,MATCH($H397,Register!$J$11:$J$510,0))&amp;"")</f>
        <v/>
      </c>
      <c r="C397" s="25" t="str">
        <f aca="false">IF($H397="","",INDEX(Register!$C$11:$C$510,MATCH($H397,Register!$J$11:$J$510,0))&amp;"")</f>
        <v/>
      </c>
      <c r="D397" s="26" t="str">
        <f aca="false">IF($H397="","",IF(ISNUMBER(INDEX(Register!$D$11:$D$510,MATCH($H397,Register!$J$11:$J$510,0))),INDEX(Register!$D$11:$D$510,MATCH($H397,Register!$J$11:$J$510,0)),INDEX(Register!$D$11:$D$510,MATCH($H397,Register!$J$11:$J$510,0))&amp;""))</f>
        <v/>
      </c>
      <c r="E397" s="25" t="str">
        <f aca="false">IF($H397="","",IF(ISNUMBER(INDEX(Register!$E$11:$E$510,MATCH($H397,Register!$J$11:$J$510,0))),INDEX(Register!$E$11:$E$510,MATCH($H397,Register!$J$11:$J$510,0))&amp;" mo",INDEX(Register!$E$11:$E$510,MATCH($H397,Register!$J$11:$J$510,0))&amp;""))</f>
        <v/>
      </c>
      <c r="F397" s="26" t="str">
        <f aca="false">IF($H397="","",INDEX(Register!$F$11:$F$510,MATCH($H397,Register!$J$11:$J$510,0)))</f>
        <v/>
      </c>
      <c r="G397" s="27" t="str">
        <f aca="false">IF($H397="","",IF(INDEX(Register!$G$11:$G$510,MATCH($H397,Register!$J$11:$J$510,0))="Check details","Check details: "&amp;INDEX(Register!$I$11:$I$510,MATCH($H397,Register!$J$11:$J$510,0)),INDEX(Register!$G$11:$G$510,MATCH($H397,Register!$J$11:$J$510,0))))</f>
        <v/>
      </c>
      <c r="H397" s="28" t="str">
        <f aca="false">IF(391&gt;COUNT(Register!$J$11:$J$510),"",SMALL(Register!$J$11:$J$510,391))</f>
        <v/>
      </c>
    </row>
    <row r="398" customFormat="false" ht="15" hidden="false" customHeight="false" outlineLevel="0" collapsed="false">
      <c r="A398" s="25" t="str">
        <f aca="false">IF($H398="","",INDEX(Register!$A$11:$A$510,MATCH($H398,Register!$J$11:$J$510,0))&amp;"")</f>
        <v/>
      </c>
      <c r="B398" s="25" t="str">
        <f aca="false">IF($H398="","",INDEX(Register!$B$11:$B$510,MATCH($H398,Register!$J$11:$J$510,0))&amp;"")</f>
        <v/>
      </c>
      <c r="C398" s="25" t="str">
        <f aca="false">IF($H398="","",INDEX(Register!$C$11:$C$510,MATCH($H398,Register!$J$11:$J$510,0))&amp;"")</f>
        <v/>
      </c>
      <c r="D398" s="26" t="str">
        <f aca="false">IF($H398="","",IF(ISNUMBER(INDEX(Register!$D$11:$D$510,MATCH($H398,Register!$J$11:$J$510,0))),INDEX(Register!$D$11:$D$510,MATCH($H398,Register!$J$11:$J$510,0)),INDEX(Register!$D$11:$D$510,MATCH($H398,Register!$J$11:$J$510,0))&amp;""))</f>
        <v/>
      </c>
      <c r="E398" s="25" t="str">
        <f aca="false">IF($H398="","",IF(ISNUMBER(INDEX(Register!$E$11:$E$510,MATCH($H398,Register!$J$11:$J$510,0))),INDEX(Register!$E$11:$E$510,MATCH($H398,Register!$J$11:$J$510,0))&amp;" mo",INDEX(Register!$E$11:$E$510,MATCH($H398,Register!$J$11:$J$510,0))&amp;""))</f>
        <v/>
      </c>
      <c r="F398" s="26" t="str">
        <f aca="false">IF($H398="","",INDEX(Register!$F$11:$F$510,MATCH($H398,Register!$J$11:$J$510,0)))</f>
        <v/>
      </c>
      <c r="G398" s="27" t="str">
        <f aca="false">IF($H398="","",IF(INDEX(Register!$G$11:$G$510,MATCH($H398,Register!$J$11:$J$510,0))="Check details","Check details: "&amp;INDEX(Register!$I$11:$I$510,MATCH($H398,Register!$J$11:$J$510,0)),INDEX(Register!$G$11:$G$510,MATCH($H398,Register!$J$11:$J$510,0))))</f>
        <v/>
      </c>
      <c r="H398" s="28" t="str">
        <f aca="false">IF(392&gt;COUNT(Register!$J$11:$J$510),"",SMALL(Register!$J$11:$J$510,392))</f>
        <v/>
      </c>
    </row>
    <row r="399" customFormat="false" ht="15" hidden="false" customHeight="false" outlineLevel="0" collapsed="false">
      <c r="A399" s="25" t="str">
        <f aca="false">IF($H399="","",INDEX(Register!$A$11:$A$510,MATCH($H399,Register!$J$11:$J$510,0))&amp;"")</f>
        <v/>
      </c>
      <c r="B399" s="25" t="str">
        <f aca="false">IF($H399="","",INDEX(Register!$B$11:$B$510,MATCH($H399,Register!$J$11:$J$510,0))&amp;"")</f>
        <v/>
      </c>
      <c r="C399" s="25" t="str">
        <f aca="false">IF($H399="","",INDEX(Register!$C$11:$C$510,MATCH($H399,Register!$J$11:$J$510,0))&amp;"")</f>
        <v/>
      </c>
      <c r="D399" s="26" t="str">
        <f aca="false">IF($H399="","",IF(ISNUMBER(INDEX(Register!$D$11:$D$510,MATCH($H399,Register!$J$11:$J$510,0))),INDEX(Register!$D$11:$D$510,MATCH($H399,Register!$J$11:$J$510,0)),INDEX(Register!$D$11:$D$510,MATCH($H399,Register!$J$11:$J$510,0))&amp;""))</f>
        <v/>
      </c>
      <c r="E399" s="25" t="str">
        <f aca="false">IF($H399="","",IF(ISNUMBER(INDEX(Register!$E$11:$E$510,MATCH($H399,Register!$J$11:$J$510,0))),INDEX(Register!$E$11:$E$510,MATCH($H399,Register!$J$11:$J$510,0))&amp;" mo",INDEX(Register!$E$11:$E$510,MATCH($H399,Register!$J$11:$J$510,0))&amp;""))</f>
        <v/>
      </c>
      <c r="F399" s="26" t="str">
        <f aca="false">IF($H399="","",INDEX(Register!$F$11:$F$510,MATCH($H399,Register!$J$11:$J$510,0)))</f>
        <v/>
      </c>
      <c r="G399" s="27" t="str">
        <f aca="false">IF($H399="","",IF(INDEX(Register!$G$11:$G$510,MATCH($H399,Register!$J$11:$J$510,0))="Check details","Check details: "&amp;INDEX(Register!$I$11:$I$510,MATCH($H399,Register!$J$11:$J$510,0)),INDEX(Register!$G$11:$G$510,MATCH($H399,Register!$J$11:$J$510,0))))</f>
        <v/>
      </c>
      <c r="H399" s="28" t="str">
        <f aca="false">IF(393&gt;COUNT(Register!$J$11:$J$510),"",SMALL(Register!$J$11:$J$510,393))</f>
        <v/>
      </c>
    </row>
    <row r="400" customFormat="false" ht="15" hidden="false" customHeight="false" outlineLevel="0" collapsed="false">
      <c r="A400" s="25" t="str">
        <f aca="false">IF($H400="","",INDEX(Register!$A$11:$A$510,MATCH($H400,Register!$J$11:$J$510,0))&amp;"")</f>
        <v/>
      </c>
      <c r="B400" s="25" t="str">
        <f aca="false">IF($H400="","",INDEX(Register!$B$11:$B$510,MATCH($H400,Register!$J$11:$J$510,0))&amp;"")</f>
        <v/>
      </c>
      <c r="C400" s="25" t="str">
        <f aca="false">IF($H400="","",INDEX(Register!$C$11:$C$510,MATCH($H400,Register!$J$11:$J$510,0))&amp;"")</f>
        <v/>
      </c>
      <c r="D400" s="26" t="str">
        <f aca="false">IF($H400="","",IF(ISNUMBER(INDEX(Register!$D$11:$D$510,MATCH($H400,Register!$J$11:$J$510,0))),INDEX(Register!$D$11:$D$510,MATCH($H400,Register!$J$11:$J$510,0)),INDEX(Register!$D$11:$D$510,MATCH($H400,Register!$J$11:$J$510,0))&amp;""))</f>
        <v/>
      </c>
      <c r="E400" s="25" t="str">
        <f aca="false">IF($H400="","",IF(ISNUMBER(INDEX(Register!$E$11:$E$510,MATCH($H400,Register!$J$11:$J$510,0))),INDEX(Register!$E$11:$E$510,MATCH($H400,Register!$J$11:$J$510,0))&amp;" mo",INDEX(Register!$E$11:$E$510,MATCH($H400,Register!$J$11:$J$510,0))&amp;""))</f>
        <v/>
      </c>
      <c r="F400" s="26" t="str">
        <f aca="false">IF($H400="","",INDEX(Register!$F$11:$F$510,MATCH($H400,Register!$J$11:$J$510,0)))</f>
        <v/>
      </c>
      <c r="G400" s="27" t="str">
        <f aca="false">IF($H400="","",IF(INDEX(Register!$G$11:$G$510,MATCH($H400,Register!$J$11:$J$510,0))="Check details","Check details: "&amp;INDEX(Register!$I$11:$I$510,MATCH($H400,Register!$J$11:$J$510,0)),INDEX(Register!$G$11:$G$510,MATCH($H400,Register!$J$11:$J$510,0))))</f>
        <v/>
      </c>
      <c r="H400" s="28" t="str">
        <f aca="false">IF(394&gt;COUNT(Register!$J$11:$J$510),"",SMALL(Register!$J$11:$J$510,394))</f>
        <v/>
      </c>
    </row>
    <row r="401" customFormat="false" ht="15" hidden="false" customHeight="false" outlineLevel="0" collapsed="false">
      <c r="A401" s="25" t="str">
        <f aca="false">IF($H401="","",INDEX(Register!$A$11:$A$510,MATCH($H401,Register!$J$11:$J$510,0))&amp;"")</f>
        <v/>
      </c>
      <c r="B401" s="25" t="str">
        <f aca="false">IF($H401="","",INDEX(Register!$B$11:$B$510,MATCH($H401,Register!$J$11:$J$510,0))&amp;"")</f>
        <v/>
      </c>
      <c r="C401" s="25" t="str">
        <f aca="false">IF($H401="","",INDEX(Register!$C$11:$C$510,MATCH($H401,Register!$J$11:$J$510,0))&amp;"")</f>
        <v/>
      </c>
      <c r="D401" s="26" t="str">
        <f aca="false">IF($H401="","",IF(ISNUMBER(INDEX(Register!$D$11:$D$510,MATCH($H401,Register!$J$11:$J$510,0))),INDEX(Register!$D$11:$D$510,MATCH($H401,Register!$J$11:$J$510,0)),INDEX(Register!$D$11:$D$510,MATCH($H401,Register!$J$11:$J$510,0))&amp;""))</f>
        <v/>
      </c>
      <c r="E401" s="25" t="str">
        <f aca="false">IF($H401="","",IF(ISNUMBER(INDEX(Register!$E$11:$E$510,MATCH($H401,Register!$J$11:$J$510,0))),INDEX(Register!$E$11:$E$510,MATCH($H401,Register!$J$11:$J$510,0))&amp;" mo",INDEX(Register!$E$11:$E$510,MATCH($H401,Register!$J$11:$J$510,0))&amp;""))</f>
        <v/>
      </c>
      <c r="F401" s="26" t="str">
        <f aca="false">IF($H401="","",INDEX(Register!$F$11:$F$510,MATCH($H401,Register!$J$11:$J$510,0)))</f>
        <v/>
      </c>
      <c r="G401" s="27" t="str">
        <f aca="false">IF($H401="","",IF(INDEX(Register!$G$11:$G$510,MATCH($H401,Register!$J$11:$J$510,0))="Check details","Check details: "&amp;INDEX(Register!$I$11:$I$510,MATCH($H401,Register!$J$11:$J$510,0)),INDEX(Register!$G$11:$G$510,MATCH($H401,Register!$J$11:$J$510,0))))</f>
        <v/>
      </c>
      <c r="H401" s="28" t="str">
        <f aca="false">IF(395&gt;COUNT(Register!$J$11:$J$510),"",SMALL(Register!$J$11:$J$510,395))</f>
        <v/>
      </c>
    </row>
    <row r="402" customFormat="false" ht="15" hidden="false" customHeight="false" outlineLevel="0" collapsed="false">
      <c r="A402" s="25" t="str">
        <f aca="false">IF($H402="","",INDEX(Register!$A$11:$A$510,MATCH($H402,Register!$J$11:$J$510,0))&amp;"")</f>
        <v/>
      </c>
      <c r="B402" s="25" t="str">
        <f aca="false">IF($H402="","",INDEX(Register!$B$11:$B$510,MATCH($H402,Register!$J$11:$J$510,0))&amp;"")</f>
        <v/>
      </c>
      <c r="C402" s="25" t="str">
        <f aca="false">IF($H402="","",INDEX(Register!$C$11:$C$510,MATCH($H402,Register!$J$11:$J$510,0))&amp;"")</f>
        <v/>
      </c>
      <c r="D402" s="26" t="str">
        <f aca="false">IF($H402="","",IF(ISNUMBER(INDEX(Register!$D$11:$D$510,MATCH($H402,Register!$J$11:$J$510,0))),INDEX(Register!$D$11:$D$510,MATCH($H402,Register!$J$11:$J$510,0)),INDEX(Register!$D$11:$D$510,MATCH($H402,Register!$J$11:$J$510,0))&amp;""))</f>
        <v/>
      </c>
      <c r="E402" s="25" t="str">
        <f aca="false">IF($H402="","",IF(ISNUMBER(INDEX(Register!$E$11:$E$510,MATCH($H402,Register!$J$11:$J$510,0))),INDEX(Register!$E$11:$E$510,MATCH($H402,Register!$J$11:$J$510,0))&amp;" mo",INDEX(Register!$E$11:$E$510,MATCH($H402,Register!$J$11:$J$510,0))&amp;""))</f>
        <v/>
      </c>
      <c r="F402" s="26" t="str">
        <f aca="false">IF($H402="","",INDEX(Register!$F$11:$F$510,MATCH($H402,Register!$J$11:$J$510,0)))</f>
        <v/>
      </c>
      <c r="G402" s="27" t="str">
        <f aca="false">IF($H402="","",IF(INDEX(Register!$G$11:$G$510,MATCH($H402,Register!$J$11:$J$510,0))="Check details","Check details: "&amp;INDEX(Register!$I$11:$I$510,MATCH($H402,Register!$J$11:$J$510,0)),INDEX(Register!$G$11:$G$510,MATCH($H402,Register!$J$11:$J$510,0))))</f>
        <v/>
      </c>
      <c r="H402" s="28" t="str">
        <f aca="false">IF(396&gt;COUNT(Register!$J$11:$J$510),"",SMALL(Register!$J$11:$J$510,396))</f>
        <v/>
      </c>
    </row>
    <row r="403" customFormat="false" ht="15" hidden="false" customHeight="false" outlineLevel="0" collapsed="false">
      <c r="A403" s="25" t="str">
        <f aca="false">IF($H403="","",INDEX(Register!$A$11:$A$510,MATCH($H403,Register!$J$11:$J$510,0))&amp;"")</f>
        <v/>
      </c>
      <c r="B403" s="25" t="str">
        <f aca="false">IF($H403="","",INDEX(Register!$B$11:$B$510,MATCH($H403,Register!$J$11:$J$510,0))&amp;"")</f>
        <v/>
      </c>
      <c r="C403" s="25" t="str">
        <f aca="false">IF($H403="","",INDEX(Register!$C$11:$C$510,MATCH($H403,Register!$J$11:$J$510,0))&amp;"")</f>
        <v/>
      </c>
      <c r="D403" s="26" t="str">
        <f aca="false">IF($H403="","",IF(ISNUMBER(INDEX(Register!$D$11:$D$510,MATCH($H403,Register!$J$11:$J$510,0))),INDEX(Register!$D$11:$D$510,MATCH($H403,Register!$J$11:$J$510,0)),INDEX(Register!$D$11:$D$510,MATCH($H403,Register!$J$11:$J$510,0))&amp;""))</f>
        <v/>
      </c>
      <c r="E403" s="25" t="str">
        <f aca="false">IF($H403="","",IF(ISNUMBER(INDEX(Register!$E$11:$E$510,MATCH($H403,Register!$J$11:$J$510,0))),INDEX(Register!$E$11:$E$510,MATCH($H403,Register!$J$11:$J$510,0))&amp;" mo",INDEX(Register!$E$11:$E$510,MATCH($H403,Register!$J$11:$J$510,0))&amp;""))</f>
        <v/>
      </c>
      <c r="F403" s="26" t="str">
        <f aca="false">IF($H403="","",INDEX(Register!$F$11:$F$510,MATCH($H403,Register!$J$11:$J$510,0)))</f>
        <v/>
      </c>
      <c r="G403" s="27" t="str">
        <f aca="false">IF($H403="","",IF(INDEX(Register!$G$11:$G$510,MATCH($H403,Register!$J$11:$J$510,0))="Check details","Check details: "&amp;INDEX(Register!$I$11:$I$510,MATCH($H403,Register!$J$11:$J$510,0)),INDEX(Register!$G$11:$G$510,MATCH($H403,Register!$J$11:$J$510,0))))</f>
        <v/>
      </c>
      <c r="H403" s="28" t="str">
        <f aca="false">IF(397&gt;COUNT(Register!$J$11:$J$510),"",SMALL(Register!$J$11:$J$510,397))</f>
        <v/>
      </c>
    </row>
    <row r="404" customFormat="false" ht="15" hidden="false" customHeight="false" outlineLevel="0" collapsed="false">
      <c r="A404" s="25" t="str">
        <f aca="false">IF($H404="","",INDEX(Register!$A$11:$A$510,MATCH($H404,Register!$J$11:$J$510,0))&amp;"")</f>
        <v/>
      </c>
      <c r="B404" s="25" t="str">
        <f aca="false">IF($H404="","",INDEX(Register!$B$11:$B$510,MATCH($H404,Register!$J$11:$J$510,0))&amp;"")</f>
        <v/>
      </c>
      <c r="C404" s="25" t="str">
        <f aca="false">IF($H404="","",INDEX(Register!$C$11:$C$510,MATCH($H404,Register!$J$11:$J$510,0))&amp;"")</f>
        <v/>
      </c>
      <c r="D404" s="26" t="str">
        <f aca="false">IF($H404="","",IF(ISNUMBER(INDEX(Register!$D$11:$D$510,MATCH($H404,Register!$J$11:$J$510,0))),INDEX(Register!$D$11:$D$510,MATCH($H404,Register!$J$11:$J$510,0)),INDEX(Register!$D$11:$D$510,MATCH($H404,Register!$J$11:$J$510,0))&amp;""))</f>
        <v/>
      </c>
      <c r="E404" s="25" t="str">
        <f aca="false">IF($H404="","",IF(ISNUMBER(INDEX(Register!$E$11:$E$510,MATCH($H404,Register!$J$11:$J$510,0))),INDEX(Register!$E$11:$E$510,MATCH($H404,Register!$J$11:$J$510,0))&amp;" mo",INDEX(Register!$E$11:$E$510,MATCH($H404,Register!$J$11:$J$510,0))&amp;""))</f>
        <v/>
      </c>
      <c r="F404" s="26" t="str">
        <f aca="false">IF($H404="","",INDEX(Register!$F$11:$F$510,MATCH($H404,Register!$J$11:$J$510,0)))</f>
        <v/>
      </c>
      <c r="G404" s="27" t="str">
        <f aca="false">IF($H404="","",IF(INDEX(Register!$G$11:$G$510,MATCH($H404,Register!$J$11:$J$510,0))="Check details","Check details: "&amp;INDEX(Register!$I$11:$I$510,MATCH($H404,Register!$J$11:$J$510,0)),INDEX(Register!$G$11:$G$510,MATCH($H404,Register!$J$11:$J$510,0))))</f>
        <v/>
      </c>
      <c r="H404" s="28" t="str">
        <f aca="false">IF(398&gt;COUNT(Register!$J$11:$J$510),"",SMALL(Register!$J$11:$J$510,398))</f>
        <v/>
      </c>
    </row>
    <row r="405" customFormat="false" ht="15" hidden="false" customHeight="false" outlineLevel="0" collapsed="false">
      <c r="A405" s="25" t="str">
        <f aca="false">IF($H405="","",INDEX(Register!$A$11:$A$510,MATCH($H405,Register!$J$11:$J$510,0))&amp;"")</f>
        <v/>
      </c>
      <c r="B405" s="25" t="str">
        <f aca="false">IF($H405="","",INDEX(Register!$B$11:$B$510,MATCH($H405,Register!$J$11:$J$510,0))&amp;"")</f>
        <v/>
      </c>
      <c r="C405" s="25" t="str">
        <f aca="false">IF($H405="","",INDEX(Register!$C$11:$C$510,MATCH($H405,Register!$J$11:$J$510,0))&amp;"")</f>
        <v/>
      </c>
      <c r="D405" s="26" t="str">
        <f aca="false">IF($H405="","",IF(ISNUMBER(INDEX(Register!$D$11:$D$510,MATCH($H405,Register!$J$11:$J$510,0))),INDEX(Register!$D$11:$D$510,MATCH($H405,Register!$J$11:$J$510,0)),INDEX(Register!$D$11:$D$510,MATCH($H405,Register!$J$11:$J$510,0))&amp;""))</f>
        <v/>
      </c>
      <c r="E405" s="25" t="str">
        <f aca="false">IF($H405="","",IF(ISNUMBER(INDEX(Register!$E$11:$E$510,MATCH($H405,Register!$J$11:$J$510,0))),INDEX(Register!$E$11:$E$510,MATCH($H405,Register!$J$11:$J$510,0))&amp;" mo",INDEX(Register!$E$11:$E$510,MATCH($H405,Register!$J$11:$J$510,0))&amp;""))</f>
        <v/>
      </c>
      <c r="F405" s="26" t="str">
        <f aca="false">IF($H405="","",INDEX(Register!$F$11:$F$510,MATCH($H405,Register!$J$11:$J$510,0)))</f>
        <v/>
      </c>
      <c r="G405" s="27" t="str">
        <f aca="false">IF($H405="","",IF(INDEX(Register!$G$11:$G$510,MATCH($H405,Register!$J$11:$J$510,0))="Check details","Check details: "&amp;INDEX(Register!$I$11:$I$510,MATCH($H405,Register!$J$11:$J$510,0)),INDEX(Register!$G$11:$G$510,MATCH($H405,Register!$J$11:$J$510,0))))</f>
        <v/>
      </c>
      <c r="H405" s="28" t="str">
        <f aca="false">IF(399&gt;COUNT(Register!$J$11:$J$510),"",SMALL(Register!$J$11:$J$510,399))</f>
        <v/>
      </c>
    </row>
    <row r="406" customFormat="false" ht="15" hidden="false" customHeight="false" outlineLevel="0" collapsed="false">
      <c r="A406" s="25" t="str">
        <f aca="false">IF($H406="","",INDEX(Register!$A$11:$A$510,MATCH($H406,Register!$J$11:$J$510,0))&amp;"")</f>
        <v/>
      </c>
      <c r="B406" s="25" t="str">
        <f aca="false">IF($H406="","",INDEX(Register!$B$11:$B$510,MATCH($H406,Register!$J$11:$J$510,0))&amp;"")</f>
        <v/>
      </c>
      <c r="C406" s="25" t="str">
        <f aca="false">IF($H406="","",INDEX(Register!$C$11:$C$510,MATCH($H406,Register!$J$11:$J$510,0))&amp;"")</f>
        <v/>
      </c>
      <c r="D406" s="26" t="str">
        <f aca="false">IF($H406="","",IF(ISNUMBER(INDEX(Register!$D$11:$D$510,MATCH($H406,Register!$J$11:$J$510,0))),INDEX(Register!$D$11:$D$510,MATCH($H406,Register!$J$11:$J$510,0)),INDEX(Register!$D$11:$D$510,MATCH($H406,Register!$J$11:$J$510,0))&amp;""))</f>
        <v/>
      </c>
      <c r="E406" s="25" t="str">
        <f aca="false">IF($H406="","",IF(ISNUMBER(INDEX(Register!$E$11:$E$510,MATCH($H406,Register!$J$11:$J$510,0))),INDEX(Register!$E$11:$E$510,MATCH($H406,Register!$J$11:$J$510,0))&amp;" mo",INDEX(Register!$E$11:$E$510,MATCH($H406,Register!$J$11:$J$510,0))&amp;""))</f>
        <v/>
      </c>
      <c r="F406" s="26" t="str">
        <f aca="false">IF($H406="","",INDEX(Register!$F$11:$F$510,MATCH($H406,Register!$J$11:$J$510,0)))</f>
        <v/>
      </c>
      <c r="G406" s="27" t="str">
        <f aca="false">IF($H406="","",IF(INDEX(Register!$G$11:$G$510,MATCH($H406,Register!$J$11:$J$510,0))="Check details","Check details: "&amp;INDEX(Register!$I$11:$I$510,MATCH($H406,Register!$J$11:$J$510,0)),INDEX(Register!$G$11:$G$510,MATCH($H406,Register!$J$11:$J$510,0))))</f>
        <v/>
      </c>
      <c r="H406" s="28" t="str">
        <f aca="false">IF(400&gt;COUNT(Register!$J$11:$J$510),"",SMALL(Register!$J$11:$J$510,400))</f>
        <v/>
      </c>
    </row>
    <row r="407" customFormat="false" ht="15" hidden="false" customHeight="false" outlineLevel="0" collapsed="false">
      <c r="A407" s="25" t="str">
        <f aca="false">IF($H407="","",INDEX(Register!$A$11:$A$510,MATCH($H407,Register!$J$11:$J$510,0))&amp;"")</f>
        <v/>
      </c>
      <c r="B407" s="25" t="str">
        <f aca="false">IF($H407="","",INDEX(Register!$B$11:$B$510,MATCH($H407,Register!$J$11:$J$510,0))&amp;"")</f>
        <v/>
      </c>
      <c r="C407" s="25" t="str">
        <f aca="false">IF($H407="","",INDEX(Register!$C$11:$C$510,MATCH($H407,Register!$J$11:$J$510,0))&amp;"")</f>
        <v/>
      </c>
      <c r="D407" s="26" t="str">
        <f aca="false">IF($H407="","",IF(ISNUMBER(INDEX(Register!$D$11:$D$510,MATCH($H407,Register!$J$11:$J$510,0))),INDEX(Register!$D$11:$D$510,MATCH($H407,Register!$J$11:$J$510,0)),INDEX(Register!$D$11:$D$510,MATCH($H407,Register!$J$11:$J$510,0))&amp;""))</f>
        <v/>
      </c>
      <c r="E407" s="25" t="str">
        <f aca="false">IF($H407="","",IF(ISNUMBER(INDEX(Register!$E$11:$E$510,MATCH($H407,Register!$J$11:$J$510,0))),INDEX(Register!$E$11:$E$510,MATCH($H407,Register!$J$11:$J$510,0))&amp;" mo",INDEX(Register!$E$11:$E$510,MATCH($H407,Register!$J$11:$J$510,0))&amp;""))</f>
        <v/>
      </c>
      <c r="F407" s="26" t="str">
        <f aca="false">IF($H407="","",INDEX(Register!$F$11:$F$510,MATCH($H407,Register!$J$11:$J$510,0)))</f>
        <v/>
      </c>
      <c r="G407" s="27" t="str">
        <f aca="false">IF($H407="","",IF(INDEX(Register!$G$11:$G$510,MATCH($H407,Register!$J$11:$J$510,0))="Check details","Check details: "&amp;INDEX(Register!$I$11:$I$510,MATCH($H407,Register!$J$11:$J$510,0)),INDEX(Register!$G$11:$G$510,MATCH($H407,Register!$J$11:$J$510,0))))</f>
        <v/>
      </c>
      <c r="H407" s="28" t="str">
        <f aca="false">IF(401&gt;COUNT(Register!$J$11:$J$510),"",SMALL(Register!$J$11:$J$510,401))</f>
        <v/>
      </c>
    </row>
    <row r="408" customFormat="false" ht="15" hidden="false" customHeight="false" outlineLevel="0" collapsed="false">
      <c r="A408" s="25" t="str">
        <f aca="false">IF($H408="","",INDEX(Register!$A$11:$A$510,MATCH($H408,Register!$J$11:$J$510,0))&amp;"")</f>
        <v/>
      </c>
      <c r="B408" s="25" t="str">
        <f aca="false">IF($H408="","",INDEX(Register!$B$11:$B$510,MATCH($H408,Register!$J$11:$J$510,0))&amp;"")</f>
        <v/>
      </c>
      <c r="C408" s="25" t="str">
        <f aca="false">IF($H408="","",INDEX(Register!$C$11:$C$510,MATCH($H408,Register!$J$11:$J$510,0))&amp;"")</f>
        <v/>
      </c>
      <c r="D408" s="26" t="str">
        <f aca="false">IF($H408="","",IF(ISNUMBER(INDEX(Register!$D$11:$D$510,MATCH($H408,Register!$J$11:$J$510,0))),INDEX(Register!$D$11:$D$510,MATCH($H408,Register!$J$11:$J$510,0)),INDEX(Register!$D$11:$D$510,MATCH($H408,Register!$J$11:$J$510,0))&amp;""))</f>
        <v/>
      </c>
      <c r="E408" s="25" t="str">
        <f aca="false">IF($H408="","",IF(ISNUMBER(INDEX(Register!$E$11:$E$510,MATCH($H408,Register!$J$11:$J$510,0))),INDEX(Register!$E$11:$E$510,MATCH($H408,Register!$J$11:$J$510,0))&amp;" mo",INDEX(Register!$E$11:$E$510,MATCH($H408,Register!$J$11:$J$510,0))&amp;""))</f>
        <v/>
      </c>
      <c r="F408" s="26" t="str">
        <f aca="false">IF($H408="","",INDEX(Register!$F$11:$F$510,MATCH($H408,Register!$J$11:$J$510,0)))</f>
        <v/>
      </c>
      <c r="G408" s="27" t="str">
        <f aca="false">IF($H408="","",IF(INDEX(Register!$G$11:$G$510,MATCH($H408,Register!$J$11:$J$510,0))="Check details","Check details: "&amp;INDEX(Register!$I$11:$I$510,MATCH($H408,Register!$J$11:$J$510,0)),INDEX(Register!$G$11:$G$510,MATCH($H408,Register!$J$11:$J$510,0))))</f>
        <v/>
      </c>
      <c r="H408" s="28" t="str">
        <f aca="false">IF(402&gt;COUNT(Register!$J$11:$J$510),"",SMALL(Register!$J$11:$J$510,402))</f>
        <v/>
      </c>
    </row>
    <row r="409" customFormat="false" ht="15" hidden="false" customHeight="false" outlineLevel="0" collapsed="false">
      <c r="A409" s="25" t="str">
        <f aca="false">IF($H409="","",INDEX(Register!$A$11:$A$510,MATCH($H409,Register!$J$11:$J$510,0))&amp;"")</f>
        <v/>
      </c>
      <c r="B409" s="25" t="str">
        <f aca="false">IF($H409="","",INDEX(Register!$B$11:$B$510,MATCH($H409,Register!$J$11:$J$510,0))&amp;"")</f>
        <v/>
      </c>
      <c r="C409" s="25" t="str">
        <f aca="false">IF($H409="","",INDEX(Register!$C$11:$C$510,MATCH($H409,Register!$J$11:$J$510,0))&amp;"")</f>
        <v/>
      </c>
      <c r="D409" s="26" t="str">
        <f aca="false">IF($H409="","",IF(ISNUMBER(INDEX(Register!$D$11:$D$510,MATCH($H409,Register!$J$11:$J$510,0))),INDEX(Register!$D$11:$D$510,MATCH($H409,Register!$J$11:$J$510,0)),INDEX(Register!$D$11:$D$510,MATCH($H409,Register!$J$11:$J$510,0))&amp;""))</f>
        <v/>
      </c>
      <c r="E409" s="25" t="str">
        <f aca="false">IF($H409="","",IF(ISNUMBER(INDEX(Register!$E$11:$E$510,MATCH($H409,Register!$J$11:$J$510,0))),INDEX(Register!$E$11:$E$510,MATCH($H409,Register!$J$11:$J$510,0))&amp;" mo",INDEX(Register!$E$11:$E$510,MATCH($H409,Register!$J$11:$J$510,0))&amp;""))</f>
        <v/>
      </c>
      <c r="F409" s="26" t="str">
        <f aca="false">IF($H409="","",INDEX(Register!$F$11:$F$510,MATCH($H409,Register!$J$11:$J$510,0)))</f>
        <v/>
      </c>
      <c r="G409" s="27" t="str">
        <f aca="false">IF($H409="","",IF(INDEX(Register!$G$11:$G$510,MATCH($H409,Register!$J$11:$J$510,0))="Check details","Check details: "&amp;INDEX(Register!$I$11:$I$510,MATCH($H409,Register!$J$11:$J$510,0)),INDEX(Register!$G$11:$G$510,MATCH($H409,Register!$J$11:$J$510,0))))</f>
        <v/>
      </c>
      <c r="H409" s="28" t="str">
        <f aca="false">IF(403&gt;COUNT(Register!$J$11:$J$510),"",SMALL(Register!$J$11:$J$510,403))</f>
        <v/>
      </c>
    </row>
    <row r="410" customFormat="false" ht="15" hidden="false" customHeight="false" outlineLevel="0" collapsed="false">
      <c r="A410" s="25" t="str">
        <f aca="false">IF($H410="","",INDEX(Register!$A$11:$A$510,MATCH($H410,Register!$J$11:$J$510,0))&amp;"")</f>
        <v/>
      </c>
      <c r="B410" s="25" t="str">
        <f aca="false">IF($H410="","",INDEX(Register!$B$11:$B$510,MATCH($H410,Register!$J$11:$J$510,0))&amp;"")</f>
        <v/>
      </c>
      <c r="C410" s="25" t="str">
        <f aca="false">IF($H410="","",INDEX(Register!$C$11:$C$510,MATCH($H410,Register!$J$11:$J$510,0))&amp;"")</f>
        <v/>
      </c>
      <c r="D410" s="26" t="str">
        <f aca="false">IF($H410="","",IF(ISNUMBER(INDEX(Register!$D$11:$D$510,MATCH($H410,Register!$J$11:$J$510,0))),INDEX(Register!$D$11:$D$510,MATCH($H410,Register!$J$11:$J$510,0)),INDEX(Register!$D$11:$D$510,MATCH($H410,Register!$J$11:$J$510,0))&amp;""))</f>
        <v/>
      </c>
      <c r="E410" s="25" t="str">
        <f aca="false">IF($H410="","",IF(ISNUMBER(INDEX(Register!$E$11:$E$510,MATCH($H410,Register!$J$11:$J$510,0))),INDEX(Register!$E$11:$E$510,MATCH($H410,Register!$J$11:$J$510,0))&amp;" mo",INDEX(Register!$E$11:$E$510,MATCH($H410,Register!$J$11:$J$510,0))&amp;""))</f>
        <v/>
      </c>
      <c r="F410" s="26" t="str">
        <f aca="false">IF($H410="","",INDEX(Register!$F$11:$F$510,MATCH($H410,Register!$J$11:$J$510,0)))</f>
        <v/>
      </c>
      <c r="G410" s="27" t="str">
        <f aca="false">IF($H410="","",IF(INDEX(Register!$G$11:$G$510,MATCH($H410,Register!$J$11:$J$510,0))="Check details","Check details: "&amp;INDEX(Register!$I$11:$I$510,MATCH($H410,Register!$J$11:$J$510,0)),INDEX(Register!$G$11:$G$510,MATCH($H410,Register!$J$11:$J$510,0))))</f>
        <v/>
      </c>
      <c r="H410" s="28" t="str">
        <f aca="false">IF(404&gt;COUNT(Register!$J$11:$J$510),"",SMALL(Register!$J$11:$J$510,404))</f>
        <v/>
      </c>
    </row>
    <row r="411" customFormat="false" ht="15" hidden="false" customHeight="false" outlineLevel="0" collapsed="false">
      <c r="A411" s="25" t="str">
        <f aca="false">IF($H411="","",INDEX(Register!$A$11:$A$510,MATCH($H411,Register!$J$11:$J$510,0))&amp;"")</f>
        <v/>
      </c>
      <c r="B411" s="25" t="str">
        <f aca="false">IF($H411="","",INDEX(Register!$B$11:$B$510,MATCH($H411,Register!$J$11:$J$510,0))&amp;"")</f>
        <v/>
      </c>
      <c r="C411" s="25" t="str">
        <f aca="false">IF($H411="","",INDEX(Register!$C$11:$C$510,MATCH($H411,Register!$J$11:$J$510,0))&amp;"")</f>
        <v/>
      </c>
      <c r="D411" s="26" t="str">
        <f aca="false">IF($H411="","",IF(ISNUMBER(INDEX(Register!$D$11:$D$510,MATCH($H411,Register!$J$11:$J$510,0))),INDEX(Register!$D$11:$D$510,MATCH($H411,Register!$J$11:$J$510,0)),INDEX(Register!$D$11:$D$510,MATCH($H411,Register!$J$11:$J$510,0))&amp;""))</f>
        <v/>
      </c>
      <c r="E411" s="25" t="str">
        <f aca="false">IF($H411="","",IF(ISNUMBER(INDEX(Register!$E$11:$E$510,MATCH($H411,Register!$J$11:$J$510,0))),INDEX(Register!$E$11:$E$510,MATCH($H411,Register!$J$11:$J$510,0))&amp;" mo",INDEX(Register!$E$11:$E$510,MATCH($H411,Register!$J$11:$J$510,0))&amp;""))</f>
        <v/>
      </c>
      <c r="F411" s="26" t="str">
        <f aca="false">IF($H411="","",INDEX(Register!$F$11:$F$510,MATCH($H411,Register!$J$11:$J$510,0)))</f>
        <v/>
      </c>
      <c r="G411" s="27" t="str">
        <f aca="false">IF($H411="","",IF(INDEX(Register!$G$11:$G$510,MATCH($H411,Register!$J$11:$J$510,0))="Check details","Check details: "&amp;INDEX(Register!$I$11:$I$510,MATCH($H411,Register!$J$11:$J$510,0)),INDEX(Register!$G$11:$G$510,MATCH($H411,Register!$J$11:$J$510,0))))</f>
        <v/>
      </c>
      <c r="H411" s="28" t="str">
        <f aca="false">IF(405&gt;COUNT(Register!$J$11:$J$510),"",SMALL(Register!$J$11:$J$510,405))</f>
        <v/>
      </c>
    </row>
    <row r="412" customFormat="false" ht="15" hidden="false" customHeight="false" outlineLevel="0" collapsed="false">
      <c r="A412" s="25" t="str">
        <f aca="false">IF($H412="","",INDEX(Register!$A$11:$A$510,MATCH($H412,Register!$J$11:$J$510,0))&amp;"")</f>
        <v/>
      </c>
      <c r="B412" s="25" t="str">
        <f aca="false">IF($H412="","",INDEX(Register!$B$11:$B$510,MATCH($H412,Register!$J$11:$J$510,0))&amp;"")</f>
        <v/>
      </c>
      <c r="C412" s="25" t="str">
        <f aca="false">IF($H412="","",INDEX(Register!$C$11:$C$510,MATCH($H412,Register!$J$11:$J$510,0))&amp;"")</f>
        <v/>
      </c>
      <c r="D412" s="26" t="str">
        <f aca="false">IF($H412="","",IF(ISNUMBER(INDEX(Register!$D$11:$D$510,MATCH($H412,Register!$J$11:$J$510,0))),INDEX(Register!$D$11:$D$510,MATCH($H412,Register!$J$11:$J$510,0)),INDEX(Register!$D$11:$D$510,MATCH($H412,Register!$J$11:$J$510,0))&amp;""))</f>
        <v/>
      </c>
      <c r="E412" s="25" t="str">
        <f aca="false">IF($H412="","",IF(ISNUMBER(INDEX(Register!$E$11:$E$510,MATCH($H412,Register!$J$11:$J$510,0))),INDEX(Register!$E$11:$E$510,MATCH($H412,Register!$J$11:$J$510,0))&amp;" mo",INDEX(Register!$E$11:$E$510,MATCH($H412,Register!$J$11:$J$510,0))&amp;""))</f>
        <v/>
      </c>
      <c r="F412" s="26" t="str">
        <f aca="false">IF($H412="","",INDEX(Register!$F$11:$F$510,MATCH($H412,Register!$J$11:$J$510,0)))</f>
        <v/>
      </c>
      <c r="G412" s="27" t="str">
        <f aca="false">IF($H412="","",IF(INDEX(Register!$G$11:$G$510,MATCH($H412,Register!$J$11:$J$510,0))="Check details","Check details: "&amp;INDEX(Register!$I$11:$I$510,MATCH($H412,Register!$J$11:$J$510,0)),INDEX(Register!$G$11:$G$510,MATCH($H412,Register!$J$11:$J$510,0))))</f>
        <v/>
      </c>
      <c r="H412" s="28" t="str">
        <f aca="false">IF(406&gt;COUNT(Register!$J$11:$J$510),"",SMALL(Register!$J$11:$J$510,406))</f>
        <v/>
      </c>
    </row>
    <row r="413" customFormat="false" ht="15" hidden="false" customHeight="false" outlineLevel="0" collapsed="false">
      <c r="A413" s="25" t="str">
        <f aca="false">IF($H413="","",INDEX(Register!$A$11:$A$510,MATCH($H413,Register!$J$11:$J$510,0))&amp;"")</f>
        <v/>
      </c>
      <c r="B413" s="25" t="str">
        <f aca="false">IF($H413="","",INDEX(Register!$B$11:$B$510,MATCH($H413,Register!$J$11:$J$510,0))&amp;"")</f>
        <v/>
      </c>
      <c r="C413" s="25" t="str">
        <f aca="false">IF($H413="","",INDEX(Register!$C$11:$C$510,MATCH($H413,Register!$J$11:$J$510,0))&amp;"")</f>
        <v/>
      </c>
      <c r="D413" s="26" t="str">
        <f aca="false">IF($H413="","",IF(ISNUMBER(INDEX(Register!$D$11:$D$510,MATCH($H413,Register!$J$11:$J$510,0))),INDEX(Register!$D$11:$D$510,MATCH($H413,Register!$J$11:$J$510,0)),INDEX(Register!$D$11:$D$510,MATCH($H413,Register!$J$11:$J$510,0))&amp;""))</f>
        <v/>
      </c>
      <c r="E413" s="25" t="str">
        <f aca="false">IF($H413="","",IF(ISNUMBER(INDEX(Register!$E$11:$E$510,MATCH($H413,Register!$J$11:$J$510,0))),INDEX(Register!$E$11:$E$510,MATCH($H413,Register!$J$11:$J$510,0))&amp;" mo",INDEX(Register!$E$11:$E$510,MATCH($H413,Register!$J$11:$J$510,0))&amp;""))</f>
        <v/>
      </c>
      <c r="F413" s="26" t="str">
        <f aca="false">IF($H413="","",INDEX(Register!$F$11:$F$510,MATCH($H413,Register!$J$11:$J$510,0)))</f>
        <v/>
      </c>
      <c r="G413" s="27" t="str">
        <f aca="false">IF($H413="","",IF(INDEX(Register!$G$11:$G$510,MATCH($H413,Register!$J$11:$J$510,0))="Check details","Check details: "&amp;INDEX(Register!$I$11:$I$510,MATCH($H413,Register!$J$11:$J$510,0)),INDEX(Register!$G$11:$G$510,MATCH($H413,Register!$J$11:$J$510,0))))</f>
        <v/>
      </c>
      <c r="H413" s="28" t="str">
        <f aca="false">IF(407&gt;COUNT(Register!$J$11:$J$510),"",SMALL(Register!$J$11:$J$510,407))</f>
        <v/>
      </c>
    </row>
    <row r="414" customFormat="false" ht="15" hidden="false" customHeight="false" outlineLevel="0" collapsed="false">
      <c r="A414" s="25" t="str">
        <f aca="false">IF($H414="","",INDEX(Register!$A$11:$A$510,MATCH($H414,Register!$J$11:$J$510,0))&amp;"")</f>
        <v/>
      </c>
      <c r="B414" s="25" t="str">
        <f aca="false">IF($H414="","",INDEX(Register!$B$11:$B$510,MATCH($H414,Register!$J$11:$J$510,0))&amp;"")</f>
        <v/>
      </c>
      <c r="C414" s="25" t="str">
        <f aca="false">IF($H414="","",INDEX(Register!$C$11:$C$510,MATCH($H414,Register!$J$11:$J$510,0))&amp;"")</f>
        <v/>
      </c>
      <c r="D414" s="26" t="str">
        <f aca="false">IF($H414="","",IF(ISNUMBER(INDEX(Register!$D$11:$D$510,MATCH($H414,Register!$J$11:$J$510,0))),INDEX(Register!$D$11:$D$510,MATCH($H414,Register!$J$11:$J$510,0)),INDEX(Register!$D$11:$D$510,MATCH($H414,Register!$J$11:$J$510,0))&amp;""))</f>
        <v/>
      </c>
      <c r="E414" s="25" t="str">
        <f aca="false">IF($H414="","",IF(ISNUMBER(INDEX(Register!$E$11:$E$510,MATCH($H414,Register!$J$11:$J$510,0))),INDEX(Register!$E$11:$E$510,MATCH($H414,Register!$J$11:$J$510,0))&amp;" mo",INDEX(Register!$E$11:$E$510,MATCH($H414,Register!$J$11:$J$510,0))&amp;""))</f>
        <v/>
      </c>
      <c r="F414" s="26" t="str">
        <f aca="false">IF($H414="","",INDEX(Register!$F$11:$F$510,MATCH($H414,Register!$J$11:$J$510,0)))</f>
        <v/>
      </c>
      <c r="G414" s="27" t="str">
        <f aca="false">IF($H414="","",IF(INDEX(Register!$G$11:$G$510,MATCH($H414,Register!$J$11:$J$510,0))="Check details","Check details: "&amp;INDEX(Register!$I$11:$I$510,MATCH($H414,Register!$J$11:$J$510,0)),INDEX(Register!$G$11:$G$510,MATCH($H414,Register!$J$11:$J$510,0))))</f>
        <v/>
      </c>
      <c r="H414" s="28" t="str">
        <f aca="false">IF(408&gt;COUNT(Register!$J$11:$J$510),"",SMALL(Register!$J$11:$J$510,408))</f>
        <v/>
      </c>
    </row>
    <row r="415" customFormat="false" ht="15" hidden="false" customHeight="false" outlineLevel="0" collapsed="false">
      <c r="A415" s="25" t="str">
        <f aca="false">IF($H415="","",INDEX(Register!$A$11:$A$510,MATCH($H415,Register!$J$11:$J$510,0))&amp;"")</f>
        <v/>
      </c>
      <c r="B415" s="25" t="str">
        <f aca="false">IF($H415="","",INDEX(Register!$B$11:$B$510,MATCH($H415,Register!$J$11:$J$510,0))&amp;"")</f>
        <v/>
      </c>
      <c r="C415" s="25" t="str">
        <f aca="false">IF($H415="","",INDEX(Register!$C$11:$C$510,MATCH($H415,Register!$J$11:$J$510,0))&amp;"")</f>
        <v/>
      </c>
      <c r="D415" s="26" t="str">
        <f aca="false">IF($H415="","",IF(ISNUMBER(INDEX(Register!$D$11:$D$510,MATCH($H415,Register!$J$11:$J$510,0))),INDEX(Register!$D$11:$D$510,MATCH($H415,Register!$J$11:$J$510,0)),INDEX(Register!$D$11:$D$510,MATCH($H415,Register!$J$11:$J$510,0))&amp;""))</f>
        <v/>
      </c>
      <c r="E415" s="25" t="str">
        <f aca="false">IF($H415="","",IF(ISNUMBER(INDEX(Register!$E$11:$E$510,MATCH($H415,Register!$J$11:$J$510,0))),INDEX(Register!$E$11:$E$510,MATCH($H415,Register!$J$11:$J$510,0))&amp;" mo",INDEX(Register!$E$11:$E$510,MATCH($H415,Register!$J$11:$J$510,0))&amp;""))</f>
        <v/>
      </c>
      <c r="F415" s="26" t="str">
        <f aca="false">IF($H415="","",INDEX(Register!$F$11:$F$510,MATCH($H415,Register!$J$11:$J$510,0)))</f>
        <v/>
      </c>
      <c r="G415" s="27" t="str">
        <f aca="false">IF($H415="","",IF(INDEX(Register!$G$11:$G$510,MATCH($H415,Register!$J$11:$J$510,0))="Check details","Check details: "&amp;INDEX(Register!$I$11:$I$510,MATCH($H415,Register!$J$11:$J$510,0)),INDEX(Register!$G$11:$G$510,MATCH($H415,Register!$J$11:$J$510,0))))</f>
        <v/>
      </c>
      <c r="H415" s="28" t="str">
        <f aca="false">IF(409&gt;COUNT(Register!$J$11:$J$510),"",SMALL(Register!$J$11:$J$510,409))</f>
        <v/>
      </c>
    </row>
    <row r="416" customFormat="false" ht="15" hidden="false" customHeight="false" outlineLevel="0" collapsed="false">
      <c r="A416" s="25" t="str">
        <f aca="false">IF($H416="","",INDEX(Register!$A$11:$A$510,MATCH($H416,Register!$J$11:$J$510,0))&amp;"")</f>
        <v/>
      </c>
      <c r="B416" s="25" t="str">
        <f aca="false">IF($H416="","",INDEX(Register!$B$11:$B$510,MATCH($H416,Register!$J$11:$J$510,0))&amp;"")</f>
        <v/>
      </c>
      <c r="C416" s="25" t="str">
        <f aca="false">IF($H416="","",INDEX(Register!$C$11:$C$510,MATCH($H416,Register!$J$11:$J$510,0))&amp;"")</f>
        <v/>
      </c>
      <c r="D416" s="26" t="str">
        <f aca="false">IF($H416="","",IF(ISNUMBER(INDEX(Register!$D$11:$D$510,MATCH($H416,Register!$J$11:$J$510,0))),INDEX(Register!$D$11:$D$510,MATCH($H416,Register!$J$11:$J$510,0)),INDEX(Register!$D$11:$D$510,MATCH($H416,Register!$J$11:$J$510,0))&amp;""))</f>
        <v/>
      </c>
      <c r="E416" s="25" t="str">
        <f aca="false">IF($H416="","",IF(ISNUMBER(INDEX(Register!$E$11:$E$510,MATCH($H416,Register!$J$11:$J$510,0))),INDEX(Register!$E$11:$E$510,MATCH($H416,Register!$J$11:$J$510,0))&amp;" mo",INDEX(Register!$E$11:$E$510,MATCH($H416,Register!$J$11:$J$510,0))&amp;""))</f>
        <v/>
      </c>
      <c r="F416" s="26" t="str">
        <f aca="false">IF($H416="","",INDEX(Register!$F$11:$F$510,MATCH($H416,Register!$J$11:$J$510,0)))</f>
        <v/>
      </c>
      <c r="G416" s="27" t="str">
        <f aca="false">IF($H416="","",IF(INDEX(Register!$G$11:$G$510,MATCH($H416,Register!$J$11:$J$510,0))="Check details","Check details: "&amp;INDEX(Register!$I$11:$I$510,MATCH($H416,Register!$J$11:$J$510,0)),INDEX(Register!$G$11:$G$510,MATCH($H416,Register!$J$11:$J$510,0))))</f>
        <v/>
      </c>
      <c r="H416" s="28" t="str">
        <f aca="false">IF(410&gt;COUNT(Register!$J$11:$J$510),"",SMALL(Register!$J$11:$J$510,410))</f>
        <v/>
      </c>
    </row>
    <row r="417" customFormat="false" ht="15" hidden="false" customHeight="false" outlineLevel="0" collapsed="false">
      <c r="A417" s="25" t="str">
        <f aca="false">IF($H417="","",INDEX(Register!$A$11:$A$510,MATCH($H417,Register!$J$11:$J$510,0))&amp;"")</f>
        <v/>
      </c>
      <c r="B417" s="25" t="str">
        <f aca="false">IF($H417="","",INDEX(Register!$B$11:$B$510,MATCH($H417,Register!$J$11:$J$510,0))&amp;"")</f>
        <v/>
      </c>
      <c r="C417" s="25" t="str">
        <f aca="false">IF($H417="","",INDEX(Register!$C$11:$C$510,MATCH($H417,Register!$J$11:$J$510,0))&amp;"")</f>
        <v/>
      </c>
      <c r="D417" s="26" t="str">
        <f aca="false">IF($H417="","",IF(ISNUMBER(INDEX(Register!$D$11:$D$510,MATCH($H417,Register!$J$11:$J$510,0))),INDEX(Register!$D$11:$D$510,MATCH($H417,Register!$J$11:$J$510,0)),INDEX(Register!$D$11:$D$510,MATCH($H417,Register!$J$11:$J$510,0))&amp;""))</f>
        <v/>
      </c>
      <c r="E417" s="25" t="str">
        <f aca="false">IF($H417="","",IF(ISNUMBER(INDEX(Register!$E$11:$E$510,MATCH($H417,Register!$J$11:$J$510,0))),INDEX(Register!$E$11:$E$510,MATCH($H417,Register!$J$11:$J$510,0))&amp;" mo",INDEX(Register!$E$11:$E$510,MATCH($H417,Register!$J$11:$J$510,0))&amp;""))</f>
        <v/>
      </c>
      <c r="F417" s="26" t="str">
        <f aca="false">IF($H417="","",INDEX(Register!$F$11:$F$510,MATCH($H417,Register!$J$11:$J$510,0)))</f>
        <v/>
      </c>
      <c r="G417" s="27" t="str">
        <f aca="false">IF($H417="","",IF(INDEX(Register!$G$11:$G$510,MATCH($H417,Register!$J$11:$J$510,0))="Check details","Check details: "&amp;INDEX(Register!$I$11:$I$510,MATCH($H417,Register!$J$11:$J$510,0)),INDEX(Register!$G$11:$G$510,MATCH($H417,Register!$J$11:$J$510,0))))</f>
        <v/>
      </c>
      <c r="H417" s="28" t="str">
        <f aca="false">IF(411&gt;COUNT(Register!$J$11:$J$510),"",SMALL(Register!$J$11:$J$510,411))</f>
        <v/>
      </c>
    </row>
    <row r="418" customFormat="false" ht="15" hidden="false" customHeight="false" outlineLevel="0" collapsed="false">
      <c r="A418" s="25" t="str">
        <f aca="false">IF($H418="","",INDEX(Register!$A$11:$A$510,MATCH($H418,Register!$J$11:$J$510,0))&amp;"")</f>
        <v/>
      </c>
      <c r="B418" s="25" t="str">
        <f aca="false">IF($H418="","",INDEX(Register!$B$11:$B$510,MATCH($H418,Register!$J$11:$J$510,0))&amp;"")</f>
        <v/>
      </c>
      <c r="C418" s="25" t="str">
        <f aca="false">IF($H418="","",INDEX(Register!$C$11:$C$510,MATCH($H418,Register!$J$11:$J$510,0))&amp;"")</f>
        <v/>
      </c>
      <c r="D418" s="26" t="str">
        <f aca="false">IF($H418="","",IF(ISNUMBER(INDEX(Register!$D$11:$D$510,MATCH($H418,Register!$J$11:$J$510,0))),INDEX(Register!$D$11:$D$510,MATCH($H418,Register!$J$11:$J$510,0)),INDEX(Register!$D$11:$D$510,MATCH($H418,Register!$J$11:$J$510,0))&amp;""))</f>
        <v/>
      </c>
      <c r="E418" s="25" t="str">
        <f aca="false">IF($H418="","",IF(ISNUMBER(INDEX(Register!$E$11:$E$510,MATCH($H418,Register!$J$11:$J$510,0))),INDEX(Register!$E$11:$E$510,MATCH($H418,Register!$J$11:$J$510,0))&amp;" mo",INDEX(Register!$E$11:$E$510,MATCH($H418,Register!$J$11:$J$510,0))&amp;""))</f>
        <v/>
      </c>
      <c r="F418" s="26" t="str">
        <f aca="false">IF($H418="","",INDEX(Register!$F$11:$F$510,MATCH($H418,Register!$J$11:$J$510,0)))</f>
        <v/>
      </c>
      <c r="G418" s="27" t="str">
        <f aca="false">IF($H418="","",IF(INDEX(Register!$G$11:$G$510,MATCH($H418,Register!$J$11:$J$510,0))="Check details","Check details: "&amp;INDEX(Register!$I$11:$I$510,MATCH($H418,Register!$J$11:$J$510,0)),INDEX(Register!$G$11:$G$510,MATCH($H418,Register!$J$11:$J$510,0))))</f>
        <v/>
      </c>
      <c r="H418" s="28" t="str">
        <f aca="false">IF(412&gt;COUNT(Register!$J$11:$J$510),"",SMALL(Register!$J$11:$J$510,412))</f>
        <v/>
      </c>
    </row>
    <row r="419" customFormat="false" ht="15" hidden="false" customHeight="false" outlineLevel="0" collapsed="false">
      <c r="A419" s="25" t="str">
        <f aca="false">IF($H419="","",INDEX(Register!$A$11:$A$510,MATCH($H419,Register!$J$11:$J$510,0))&amp;"")</f>
        <v/>
      </c>
      <c r="B419" s="25" t="str">
        <f aca="false">IF($H419="","",INDEX(Register!$B$11:$B$510,MATCH($H419,Register!$J$11:$J$510,0))&amp;"")</f>
        <v/>
      </c>
      <c r="C419" s="25" t="str">
        <f aca="false">IF($H419="","",INDEX(Register!$C$11:$C$510,MATCH($H419,Register!$J$11:$J$510,0))&amp;"")</f>
        <v/>
      </c>
      <c r="D419" s="26" t="str">
        <f aca="false">IF($H419="","",IF(ISNUMBER(INDEX(Register!$D$11:$D$510,MATCH($H419,Register!$J$11:$J$510,0))),INDEX(Register!$D$11:$D$510,MATCH($H419,Register!$J$11:$J$510,0)),INDEX(Register!$D$11:$D$510,MATCH($H419,Register!$J$11:$J$510,0))&amp;""))</f>
        <v/>
      </c>
      <c r="E419" s="25" t="str">
        <f aca="false">IF($H419="","",IF(ISNUMBER(INDEX(Register!$E$11:$E$510,MATCH($H419,Register!$J$11:$J$510,0))),INDEX(Register!$E$11:$E$510,MATCH($H419,Register!$J$11:$J$510,0))&amp;" mo",INDEX(Register!$E$11:$E$510,MATCH($H419,Register!$J$11:$J$510,0))&amp;""))</f>
        <v/>
      </c>
      <c r="F419" s="26" t="str">
        <f aca="false">IF($H419="","",INDEX(Register!$F$11:$F$510,MATCH($H419,Register!$J$11:$J$510,0)))</f>
        <v/>
      </c>
      <c r="G419" s="27" t="str">
        <f aca="false">IF($H419="","",IF(INDEX(Register!$G$11:$G$510,MATCH($H419,Register!$J$11:$J$510,0))="Check details","Check details: "&amp;INDEX(Register!$I$11:$I$510,MATCH($H419,Register!$J$11:$J$510,0)),INDEX(Register!$G$11:$G$510,MATCH($H419,Register!$J$11:$J$510,0))))</f>
        <v/>
      </c>
      <c r="H419" s="28" t="str">
        <f aca="false">IF(413&gt;COUNT(Register!$J$11:$J$510),"",SMALL(Register!$J$11:$J$510,413))</f>
        <v/>
      </c>
    </row>
    <row r="420" customFormat="false" ht="15" hidden="false" customHeight="false" outlineLevel="0" collapsed="false">
      <c r="A420" s="25" t="str">
        <f aca="false">IF($H420="","",INDEX(Register!$A$11:$A$510,MATCH($H420,Register!$J$11:$J$510,0))&amp;"")</f>
        <v/>
      </c>
      <c r="B420" s="25" t="str">
        <f aca="false">IF($H420="","",INDEX(Register!$B$11:$B$510,MATCH($H420,Register!$J$11:$J$510,0))&amp;"")</f>
        <v/>
      </c>
      <c r="C420" s="25" t="str">
        <f aca="false">IF($H420="","",INDEX(Register!$C$11:$C$510,MATCH($H420,Register!$J$11:$J$510,0))&amp;"")</f>
        <v/>
      </c>
      <c r="D420" s="26" t="str">
        <f aca="false">IF($H420="","",IF(ISNUMBER(INDEX(Register!$D$11:$D$510,MATCH($H420,Register!$J$11:$J$510,0))),INDEX(Register!$D$11:$D$510,MATCH($H420,Register!$J$11:$J$510,0)),INDEX(Register!$D$11:$D$510,MATCH($H420,Register!$J$11:$J$510,0))&amp;""))</f>
        <v/>
      </c>
      <c r="E420" s="25" t="str">
        <f aca="false">IF($H420="","",IF(ISNUMBER(INDEX(Register!$E$11:$E$510,MATCH($H420,Register!$J$11:$J$510,0))),INDEX(Register!$E$11:$E$510,MATCH($H420,Register!$J$11:$J$510,0))&amp;" mo",INDEX(Register!$E$11:$E$510,MATCH($H420,Register!$J$11:$J$510,0))&amp;""))</f>
        <v/>
      </c>
      <c r="F420" s="26" t="str">
        <f aca="false">IF($H420="","",INDEX(Register!$F$11:$F$510,MATCH($H420,Register!$J$11:$J$510,0)))</f>
        <v/>
      </c>
      <c r="G420" s="27" t="str">
        <f aca="false">IF($H420="","",IF(INDEX(Register!$G$11:$G$510,MATCH($H420,Register!$J$11:$J$510,0))="Check details","Check details: "&amp;INDEX(Register!$I$11:$I$510,MATCH($H420,Register!$J$11:$J$510,0)),INDEX(Register!$G$11:$G$510,MATCH($H420,Register!$J$11:$J$510,0))))</f>
        <v/>
      </c>
      <c r="H420" s="28" t="str">
        <f aca="false">IF(414&gt;COUNT(Register!$J$11:$J$510),"",SMALL(Register!$J$11:$J$510,414))</f>
        <v/>
      </c>
    </row>
    <row r="421" customFormat="false" ht="15" hidden="false" customHeight="false" outlineLevel="0" collapsed="false">
      <c r="A421" s="25" t="str">
        <f aca="false">IF($H421="","",INDEX(Register!$A$11:$A$510,MATCH($H421,Register!$J$11:$J$510,0))&amp;"")</f>
        <v/>
      </c>
      <c r="B421" s="25" t="str">
        <f aca="false">IF($H421="","",INDEX(Register!$B$11:$B$510,MATCH($H421,Register!$J$11:$J$510,0))&amp;"")</f>
        <v/>
      </c>
      <c r="C421" s="25" t="str">
        <f aca="false">IF($H421="","",INDEX(Register!$C$11:$C$510,MATCH($H421,Register!$J$11:$J$510,0))&amp;"")</f>
        <v/>
      </c>
      <c r="D421" s="26" t="str">
        <f aca="false">IF($H421="","",IF(ISNUMBER(INDEX(Register!$D$11:$D$510,MATCH($H421,Register!$J$11:$J$510,0))),INDEX(Register!$D$11:$D$510,MATCH($H421,Register!$J$11:$J$510,0)),INDEX(Register!$D$11:$D$510,MATCH($H421,Register!$J$11:$J$510,0))&amp;""))</f>
        <v/>
      </c>
      <c r="E421" s="25" t="str">
        <f aca="false">IF($H421="","",IF(ISNUMBER(INDEX(Register!$E$11:$E$510,MATCH($H421,Register!$J$11:$J$510,0))),INDEX(Register!$E$11:$E$510,MATCH($H421,Register!$J$11:$J$510,0))&amp;" mo",INDEX(Register!$E$11:$E$510,MATCH($H421,Register!$J$11:$J$510,0))&amp;""))</f>
        <v/>
      </c>
      <c r="F421" s="26" t="str">
        <f aca="false">IF($H421="","",INDEX(Register!$F$11:$F$510,MATCH($H421,Register!$J$11:$J$510,0)))</f>
        <v/>
      </c>
      <c r="G421" s="27" t="str">
        <f aca="false">IF($H421="","",IF(INDEX(Register!$G$11:$G$510,MATCH($H421,Register!$J$11:$J$510,0))="Check details","Check details: "&amp;INDEX(Register!$I$11:$I$510,MATCH($H421,Register!$J$11:$J$510,0)),INDEX(Register!$G$11:$G$510,MATCH($H421,Register!$J$11:$J$510,0))))</f>
        <v/>
      </c>
      <c r="H421" s="28" t="str">
        <f aca="false">IF(415&gt;COUNT(Register!$J$11:$J$510),"",SMALL(Register!$J$11:$J$510,415))</f>
        <v/>
      </c>
    </row>
    <row r="422" customFormat="false" ht="15" hidden="false" customHeight="false" outlineLevel="0" collapsed="false">
      <c r="A422" s="25" t="str">
        <f aca="false">IF($H422="","",INDEX(Register!$A$11:$A$510,MATCH($H422,Register!$J$11:$J$510,0))&amp;"")</f>
        <v/>
      </c>
      <c r="B422" s="25" t="str">
        <f aca="false">IF($H422="","",INDEX(Register!$B$11:$B$510,MATCH($H422,Register!$J$11:$J$510,0))&amp;"")</f>
        <v/>
      </c>
      <c r="C422" s="25" t="str">
        <f aca="false">IF($H422="","",INDEX(Register!$C$11:$C$510,MATCH($H422,Register!$J$11:$J$510,0))&amp;"")</f>
        <v/>
      </c>
      <c r="D422" s="26" t="str">
        <f aca="false">IF($H422="","",IF(ISNUMBER(INDEX(Register!$D$11:$D$510,MATCH($H422,Register!$J$11:$J$510,0))),INDEX(Register!$D$11:$D$510,MATCH($H422,Register!$J$11:$J$510,0)),INDEX(Register!$D$11:$D$510,MATCH($H422,Register!$J$11:$J$510,0))&amp;""))</f>
        <v/>
      </c>
      <c r="E422" s="25" t="str">
        <f aca="false">IF($H422="","",IF(ISNUMBER(INDEX(Register!$E$11:$E$510,MATCH($H422,Register!$J$11:$J$510,0))),INDEX(Register!$E$11:$E$510,MATCH($H422,Register!$J$11:$J$510,0))&amp;" mo",INDEX(Register!$E$11:$E$510,MATCH($H422,Register!$J$11:$J$510,0))&amp;""))</f>
        <v/>
      </c>
      <c r="F422" s="26" t="str">
        <f aca="false">IF($H422="","",INDEX(Register!$F$11:$F$510,MATCH($H422,Register!$J$11:$J$510,0)))</f>
        <v/>
      </c>
      <c r="G422" s="27" t="str">
        <f aca="false">IF($H422="","",IF(INDEX(Register!$G$11:$G$510,MATCH($H422,Register!$J$11:$J$510,0))="Check details","Check details: "&amp;INDEX(Register!$I$11:$I$510,MATCH($H422,Register!$J$11:$J$510,0)),INDEX(Register!$G$11:$G$510,MATCH($H422,Register!$J$11:$J$510,0))))</f>
        <v/>
      </c>
      <c r="H422" s="28" t="str">
        <f aca="false">IF(416&gt;COUNT(Register!$J$11:$J$510),"",SMALL(Register!$J$11:$J$510,416))</f>
        <v/>
      </c>
    </row>
    <row r="423" customFormat="false" ht="15" hidden="false" customHeight="false" outlineLevel="0" collapsed="false">
      <c r="A423" s="25" t="str">
        <f aca="false">IF($H423="","",INDEX(Register!$A$11:$A$510,MATCH($H423,Register!$J$11:$J$510,0))&amp;"")</f>
        <v/>
      </c>
      <c r="B423" s="25" t="str">
        <f aca="false">IF($H423="","",INDEX(Register!$B$11:$B$510,MATCH($H423,Register!$J$11:$J$510,0))&amp;"")</f>
        <v/>
      </c>
      <c r="C423" s="25" t="str">
        <f aca="false">IF($H423="","",INDEX(Register!$C$11:$C$510,MATCH($H423,Register!$J$11:$J$510,0))&amp;"")</f>
        <v/>
      </c>
      <c r="D423" s="26" t="str">
        <f aca="false">IF($H423="","",IF(ISNUMBER(INDEX(Register!$D$11:$D$510,MATCH($H423,Register!$J$11:$J$510,0))),INDEX(Register!$D$11:$D$510,MATCH($H423,Register!$J$11:$J$510,0)),INDEX(Register!$D$11:$D$510,MATCH($H423,Register!$J$11:$J$510,0))&amp;""))</f>
        <v/>
      </c>
      <c r="E423" s="25" t="str">
        <f aca="false">IF($H423="","",IF(ISNUMBER(INDEX(Register!$E$11:$E$510,MATCH($H423,Register!$J$11:$J$510,0))),INDEX(Register!$E$11:$E$510,MATCH($H423,Register!$J$11:$J$510,0))&amp;" mo",INDEX(Register!$E$11:$E$510,MATCH($H423,Register!$J$11:$J$510,0))&amp;""))</f>
        <v/>
      </c>
      <c r="F423" s="26" t="str">
        <f aca="false">IF($H423="","",INDEX(Register!$F$11:$F$510,MATCH($H423,Register!$J$11:$J$510,0)))</f>
        <v/>
      </c>
      <c r="G423" s="27" t="str">
        <f aca="false">IF($H423="","",IF(INDEX(Register!$G$11:$G$510,MATCH($H423,Register!$J$11:$J$510,0))="Check details","Check details: "&amp;INDEX(Register!$I$11:$I$510,MATCH($H423,Register!$J$11:$J$510,0)),INDEX(Register!$G$11:$G$510,MATCH($H423,Register!$J$11:$J$510,0))))</f>
        <v/>
      </c>
      <c r="H423" s="28" t="str">
        <f aca="false">IF(417&gt;COUNT(Register!$J$11:$J$510),"",SMALL(Register!$J$11:$J$510,417))</f>
        <v/>
      </c>
    </row>
    <row r="424" customFormat="false" ht="15" hidden="false" customHeight="false" outlineLevel="0" collapsed="false">
      <c r="A424" s="25" t="str">
        <f aca="false">IF($H424="","",INDEX(Register!$A$11:$A$510,MATCH($H424,Register!$J$11:$J$510,0))&amp;"")</f>
        <v/>
      </c>
      <c r="B424" s="25" t="str">
        <f aca="false">IF($H424="","",INDEX(Register!$B$11:$B$510,MATCH($H424,Register!$J$11:$J$510,0))&amp;"")</f>
        <v/>
      </c>
      <c r="C424" s="25" t="str">
        <f aca="false">IF($H424="","",INDEX(Register!$C$11:$C$510,MATCH($H424,Register!$J$11:$J$510,0))&amp;"")</f>
        <v/>
      </c>
      <c r="D424" s="26" t="str">
        <f aca="false">IF($H424="","",IF(ISNUMBER(INDEX(Register!$D$11:$D$510,MATCH($H424,Register!$J$11:$J$510,0))),INDEX(Register!$D$11:$D$510,MATCH($H424,Register!$J$11:$J$510,0)),INDEX(Register!$D$11:$D$510,MATCH($H424,Register!$J$11:$J$510,0))&amp;""))</f>
        <v/>
      </c>
      <c r="E424" s="25" t="str">
        <f aca="false">IF($H424="","",IF(ISNUMBER(INDEX(Register!$E$11:$E$510,MATCH($H424,Register!$J$11:$J$510,0))),INDEX(Register!$E$11:$E$510,MATCH($H424,Register!$J$11:$J$510,0))&amp;" mo",INDEX(Register!$E$11:$E$510,MATCH($H424,Register!$J$11:$J$510,0))&amp;""))</f>
        <v/>
      </c>
      <c r="F424" s="26" t="str">
        <f aca="false">IF($H424="","",INDEX(Register!$F$11:$F$510,MATCH($H424,Register!$J$11:$J$510,0)))</f>
        <v/>
      </c>
      <c r="G424" s="27" t="str">
        <f aca="false">IF($H424="","",IF(INDEX(Register!$G$11:$G$510,MATCH($H424,Register!$J$11:$J$510,0))="Check details","Check details: "&amp;INDEX(Register!$I$11:$I$510,MATCH($H424,Register!$J$11:$J$510,0)),INDEX(Register!$G$11:$G$510,MATCH($H424,Register!$J$11:$J$510,0))))</f>
        <v/>
      </c>
      <c r="H424" s="28" t="str">
        <f aca="false">IF(418&gt;COUNT(Register!$J$11:$J$510),"",SMALL(Register!$J$11:$J$510,418))</f>
        <v/>
      </c>
    </row>
    <row r="425" customFormat="false" ht="15" hidden="false" customHeight="false" outlineLevel="0" collapsed="false">
      <c r="A425" s="25" t="str">
        <f aca="false">IF($H425="","",INDEX(Register!$A$11:$A$510,MATCH($H425,Register!$J$11:$J$510,0))&amp;"")</f>
        <v/>
      </c>
      <c r="B425" s="25" t="str">
        <f aca="false">IF($H425="","",INDEX(Register!$B$11:$B$510,MATCH($H425,Register!$J$11:$J$510,0))&amp;"")</f>
        <v/>
      </c>
      <c r="C425" s="25" t="str">
        <f aca="false">IF($H425="","",INDEX(Register!$C$11:$C$510,MATCH($H425,Register!$J$11:$J$510,0))&amp;"")</f>
        <v/>
      </c>
      <c r="D425" s="26" t="str">
        <f aca="false">IF($H425="","",IF(ISNUMBER(INDEX(Register!$D$11:$D$510,MATCH($H425,Register!$J$11:$J$510,0))),INDEX(Register!$D$11:$D$510,MATCH($H425,Register!$J$11:$J$510,0)),INDEX(Register!$D$11:$D$510,MATCH($H425,Register!$J$11:$J$510,0))&amp;""))</f>
        <v/>
      </c>
      <c r="E425" s="25" t="str">
        <f aca="false">IF($H425="","",IF(ISNUMBER(INDEX(Register!$E$11:$E$510,MATCH($H425,Register!$J$11:$J$510,0))),INDEX(Register!$E$11:$E$510,MATCH($H425,Register!$J$11:$J$510,0))&amp;" mo",INDEX(Register!$E$11:$E$510,MATCH($H425,Register!$J$11:$J$510,0))&amp;""))</f>
        <v/>
      </c>
      <c r="F425" s="26" t="str">
        <f aca="false">IF($H425="","",INDEX(Register!$F$11:$F$510,MATCH($H425,Register!$J$11:$J$510,0)))</f>
        <v/>
      </c>
      <c r="G425" s="27" t="str">
        <f aca="false">IF($H425="","",IF(INDEX(Register!$G$11:$G$510,MATCH($H425,Register!$J$11:$J$510,0))="Check details","Check details: "&amp;INDEX(Register!$I$11:$I$510,MATCH($H425,Register!$J$11:$J$510,0)),INDEX(Register!$G$11:$G$510,MATCH($H425,Register!$J$11:$J$510,0))))</f>
        <v/>
      </c>
      <c r="H425" s="28" t="str">
        <f aca="false">IF(419&gt;COUNT(Register!$J$11:$J$510),"",SMALL(Register!$J$11:$J$510,419))</f>
        <v/>
      </c>
    </row>
    <row r="426" customFormat="false" ht="15" hidden="false" customHeight="false" outlineLevel="0" collapsed="false">
      <c r="A426" s="25" t="str">
        <f aca="false">IF($H426="","",INDEX(Register!$A$11:$A$510,MATCH($H426,Register!$J$11:$J$510,0))&amp;"")</f>
        <v/>
      </c>
      <c r="B426" s="25" t="str">
        <f aca="false">IF($H426="","",INDEX(Register!$B$11:$B$510,MATCH($H426,Register!$J$11:$J$510,0))&amp;"")</f>
        <v/>
      </c>
      <c r="C426" s="25" t="str">
        <f aca="false">IF($H426="","",INDEX(Register!$C$11:$C$510,MATCH($H426,Register!$J$11:$J$510,0))&amp;"")</f>
        <v/>
      </c>
      <c r="D426" s="26" t="str">
        <f aca="false">IF($H426="","",IF(ISNUMBER(INDEX(Register!$D$11:$D$510,MATCH($H426,Register!$J$11:$J$510,0))),INDEX(Register!$D$11:$D$510,MATCH($H426,Register!$J$11:$J$510,0)),INDEX(Register!$D$11:$D$510,MATCH($H426,Register!$J$11:$J$510,0))&amp;""))</f>
        <v/>
      </c>
      <c r="E426" s="25" t="str">
        <f aca="false">IF($H426="","",IF(ISNUMBER(INDEX(Register!$E$11:$E$510,MATCH($H426,Register!$J$11:$J$510,0))),INDEX(Register!$E$11:$E$510,MATCH($H426,Register!$J$11:$J$510,0))&amp;" mo",INDEX(Register!$E$11:$E$510,MATCH($H426,Register!$J$11:$J$510,0))&amp;""))</f>
        <v/>
      </c>
      <c r="F426" s="26" t="str">
        <f aca="false">IF($H426="","",INDEX(Register!$F$11:$F$510,MATCH($H426,Register!$J$11:$J$510,0)))</f>
        <v/>
      </c>
      <c r="G426" s="27" t="str">
        <f aca="false">IF($H426="","",IF(INDEX(Register!$G$11:$G$510,MATCH($H426,Register!$J$11:$J$510,0))="Check details","Check details: "&amp;INDEX(Register!$I$11:$I$510,MATCH($H426,Register!$J$11:$J$510,0)),INDEX(Register!$G$11:$G$510,MATCH($H426,Register!$J$11:$J$510,0))))</f>
        <v/>
      </c>
      <c r="H426" s="28" t="str">
        <f aca="false">IF(420&gt;COUNT(Register!$J$11:$J$510),"",SMALL(Register!$J$11:$J$510,420))</f>
        <v/>
      </c>
    </row>
    <row r="427" customFormat="false" ht="15" hidden="false" customHeight="false" outlineLevel="0" collapsed="false">
      <c r="A427" s="25" t="str">
        <f aca="false">IF($H427="","",INDEX(Register!$A$11:$A$510,MATCH($H427,Register!$J$11:$J$510,0))&amp;"")</f>
        <v/>
      </c>
      <c r="B427" s="25" t="str">
        <f aca="false">IF($H427="","",INDEX(Register!$B$11:$B$510,MATCH($H427,Register!$J$11:$J$510,0))&amp;"")</f>
        <v/>
      </c>
      <c r="C427" s="25" t="str">
        <f aca="false">IF($H427="","",INDEX(Register!$C$11:$C$510,MATCH($H427,Register!$J$11:$J$510,0))&amp;"")</f>
        <v/>
      </c>
      <c r="D427" s="26" t="str">
        <f aca="false">IF($H427="","",IF(ISNUMBER(INDEX(Register!$D$11:$D$510,MATCH($H427,Register!$J$11:$J$510,0))),INDEX(Register!$D$11:$D$510,MATCH($H427,Register!$J$11:$J$510,0)),INDEX(Register!$D$11:$D$510,MATCH($H427,Register!$J$11:$J$510,0))&amp;""))</f>
        <v/>
      </c>
      <c r="E427" s="25" t="str">
        <f aca="false">IF($H427="","",IF(ISNUMBER(INDEX(Register!$E$11:$E$510,MATCH($H427,Register!$J$11:$J$510,0))),INDEX(Register!$E$11:$E$510,MATCH($H427,Register!$J$11:$J$510,0))&amp;" mo",INDEX(Register!$E$11:$E$510,MATCH($H427,Register!$J$11:$J$510,0))&amp;""))</f>
        <v/>
      </c>
      <c r="F427" s="26" t="str">
        <f aca="false">IF($H427="","",INDEX(Register!$F$11:$F$510,MATCH($H427,Register!$J$11:$J$510,0)))</f>
        <v/>
      </c>
      <c r="G427" s="27" t="str">
        <f aca="false">IF($H427="","",IF(INDEX(Register!$G$11:$G$510,MATCH($H427,Register!$J$11:$J$510,0))="Check details","Check details: "&amp;INDEX(Register!$I$11:$I$510,MATCH($H427,Register!$J$11:$J$510,0)),INDEX(Register!$G$11:$G$510,MATCH($H427,Register!$J$11:$J$510,0))))</f>
        <v/>
      </c>
      <c r="H427" s="28" t="str">
        <f aca="false">IF(421&gt;COUNT(Register!$J$11:$J$510),"",SMALL(Register!$J$11:$J$510,421))</f>
        <v/>
      </c>
    </row>
    <row r="428" customFormat="false" ht="15" hidden="false" customHeight="false" outlineLevel="0" collapsed="false">
      <c r="A428" s="25" t="str">
        <f aca="false">IF($H428="","",INDEX(Register!$A$11:$A$510,MATCH($H428,Register!$J$11:$J$510,0))&amp;"")</f>
        <v/>
      </c>
      <c r="B428" s="25" t="str">
        <f aca="false">IF($H428="","",INDEX(Register!$B$11:$B$510,MATCH($H428,Register!$J$11:$J$510,0))&amp;"")</f>
        <v/>
      </c>
      <c r="C428" s="25" t="str">
        <f aca="false">IF($H428="","",INDEX(Register!$C$11:$C$510,MATCH($H428,Register!$J$11:$J$510,0))&amp;"")</f>
        <v/>
      </c>
      <c r="D428" s="26" t="str">
        <f aca="false">IF($H428="","",IF(ISNUMBER(INDEX(Register!$D$11:$D$510,MATCH($H428,Register!$J$11:$J$510,0))),INDEX(Register!$D$11:$D$510,MATCH($H428,Register!$J$11:$J$510,0)),INDEX(Register!$D$11:$D$510,MATCH($H428,Register!$J$11:$J$510,0))&amp;""))</f>
        <v/>
      </c>
      <c r="E428" s="25" t="str">
        <f aca="false">IF($H428="","",IF(ISNUMBER(INDEX(Register!$E$11:$E$510,MATCH($H428,Register!$J$11:$J$510,0))),INDEX(Register!$E$11:$E$510,MATCH($H428,Register!$J$11:$J$510,0))&amp;" mo",INDEX(Register!$E$11:$E$510,MATCH($H428,Register!$J$11:$J$510,0))&amp;""))</f>
        <v/>
      </c>
      <c r="F428" s="26" t="str">
        <f aca="false">IF($H428="","",INDEX(Register!$F$11:$F$510,MATCH($H428,Register!$J$11:$J$510,0)))</f>
        <v/>
      </c>
      <c r="G428" s="27" t="str">
        <f aca="false">IF($H428="","",IF(INDEX(Register!$G$11:$G$510,MATCH($H428,Register!$J$11:$J$510,0))="Check details","Check details: "&amp;INDEX(Register!$I$11:$I$510,MATCH($H428,Register!$J$11:$J$510,0)),INDEX(Register!$G$11:$G$510,MATCH($H428,Register!$J$11:$J$510,0))))</f>
        <v/>
      </c>
      <c r="H428" s="28" t="str">
        <f aca="false">IF(422&gt;COUNT(Register!$J$11:$J$510),"",SMALL(Register!$J$11:$J$510,422))</f>
        <v/>
      </c>
    </row>
    <row r="429" customFormat="false" ht="15" hidden="false" customHeight="false" outlineLevel="0" collapsed="false">
      <c r="A429" s="25" t="str">
        <f aca="false">IF($H429="","",INDEX(Register!$A$11:$A$510,MATCH($H429,Register!$J$11:$J$510,0))&amp;"")</f>
        <v/>
      </c>
      <c r="B429" s="25" t="str">
        <f aca="false">IF($H429="","",INDEX(Register!$B$11:$B$510,MATCH($H429,Register!$J$11:$J$510,0))&amp;"")</f>
        <v/>
      </c>
      <c r="C429" s="25" t="str">
        <f aca="false">IF($H429="","",INDEX(Register!$C$11:$C$510,MATCH($H429,Register!$J$11:$J$510,0))&amp;"")</f>
        <v/>
      </c>
      <c r="D429" s="26" t="str">
        <f aca="false">IF($H429="","",IF(ISNUMBER(INDEX(Register!$D$11:$D$510,MATCH($H429,Register!$J$11:$J$510,0))),INDEX(Register!$D$11:$D$510,MATCH($H429,Register!$J$11:$J$510,0)),INDEX(Register!$D$11:$D$510,MATCH($H429,Register!$J$11:$J$510,0))&amp;""))</f>
        <v/>
      </c>
      <c r="E429" s="25" t="str">
        <f aca="false">IF($H429="","",IF(ISNUMBER(INDEX(Register!$E$11:$E$510,MATCH($H429,Register!$J$11:$J$510,0))),INDEX(Register!$E$11:$E$510,MATCH($H429,Register!$J$11:$J$510,0))&amp;" mo",INDEX(Register!$E$11:$E$510,MATCH($H429,Register!$J$11:$J$510,0))&amp;""))</f>
        <v/>
      </c>
      <c r="F429" s="26" t="str">
        <f aca="false">IF($H429="","",INDEX(Register!$F$11:$F$510,MATCH($H429,Register!$J$11:$J$510,0)))</f>
        <v/>
      </c>
      <c r="G429" s="27" t="str">
        <f aca="false">IF($H429="","",IF(INDEX(Register!$G$11:$G$510,MATCH($H429,Register!$J$11:$J$510,0))="Check details","Check details: "&amp;INDEX(Register!$I$11:$I$510,MATCH($H429,Register!$J$11:$J$510,0)),INDEX(Register!$G$11:$G$510,MATCH($H429,Register!$J$11:$J$510,0))))</f>
        <v/>
      </c>
      <c r="H429" s="28" t="str">
        <f aca="false">IF(423&gt;COUNT(Register!$J$11:$J$510),"",SMALL(Register!$J$11:$J$510,423))</f>
        <v/>
      </c>
    </row>
    <row r="430" customFormat="false" ht="15" hidden="false" customHeight="false" outlineLevel="0" collapsed="false">
      <c r="A430" s="25" t="str">
        <f aca="false">IF($H430="","",INDEX(Register!$A$11:$A$510,MATCH($H430,Register!$J$11:$J$510,0))&amp;"")</f>
        <v/>
      </c>
      <c r="B430" s="25" t="str">
        <f aca="false">IF($H430="","",INDEX(Register!$B$11:$B$510,MATCH($H430,Register!$J$11:$J$510,0))&amp;"")</f>
        <v/>
      </c>
      <c r="C430" s="25" t="str">
        <f aca="false">IF($H430="","",INDEX(Register!$C$11:$C$510,MATCH($H430,Register!$J$11:$J$510,0))&amp;"")</f>
        <v/>
      </c>
      <c r="D430" s="26" t="str">
        <f aca="false">IF($H430="","",IF(ISNUMBER(INDEX(Register!$D$11:$D$510,MATCH($H430,Register!$J$11:$J$510,0))),INDEX(Register!$D$11:$D$510,MATCH($H430,Register!$J$11:$J$510,0)),INDEX(Register!$D$11:$D$510,MATCH($H430,Register!$J$11:$J$510,0))&amp;""))</f>
        <v/>
      </c>
      <c r="E430" s="25" t="str">
        <f aca="false">IF($H430="","",IF(ISNUMBER(INDEX(Register!$E$11:$E$510,MATCH($H430,Register!$J$11:$J$510,0))),INDEX(Register!$E$11:$E$510,MATCH($H430,Register!$J$11:$J$510,0))&amp;" mo",INDEX(Register!$E$11:$E$510,MATCH($H430,Register!$J$11:$J$510,0))&amp;""))</f>
        <v/>
      </c>
      <c r="F430" s="26" t="str">
        <f aca="false">IF($H430="","",INDEX(Register!$F$11:$F$510,MATCH($H430,Register!$J$11:$J$510,0)))</f>
        <v/>
      </c>
      <c r="G430" s="27" t="str">
        <f aca="false">IF($H430="","",IF(INDEX(Register!$G$11:$G$510,MATCH($H430,Register!$J$11:$J$510,0))="Check details","Check details: "&amp;INDEX(Register!$I$11:$I$510,MATCH($H430,Register!$J$11:$J$510,0)),INDEX(Register!$G$11:$G$510,MATCH($H430,Register!$J$11:$J$510,0))))</f>
        <v/>
      </c>
      <c r="H430" s="28" t="str">
        <f aca="false">IF(424&gt;COUNT(Register!$J$11:$J$510),"",SMALL(Register!$J$11:$J$510,424))</f>
        <v/>
      </c>
    </row>
    <row r="431" customFormat="false" ht="15" hidden="false" customHeight="false" outlineLevel="0" collapsed="false">
      <c r="A431" s="25" t="str">
        <f aca="false">IF($H431="","",INDEX(Register!$A$11:$A$510,MATCH($H431,Register!$J$11:$J$510,0))&amp;"")</f>
        <v/>
      </c>
      <c r="B431" s="25" t="str">
        <f aca="false">IF($H431="","",INDEX(Register!$B$11:$B$510,MATCH($H431,Register!$J$11:$J$510,0))&amp;"")</f>
        <v/>
      </c>
      <c r="C431" s="25" t="str">
        <f aca="false">IF($H431="","",INDEX(Register!$C$11:$C$510,MATCH($H431,Register!$J$11:$J$510,0))&amp;"")</f>
        <v/>
      </c>
      <c r="D431" s="26" t="str">
        <f aca="false">IF($H431="","",IF(ISNUMBER(INDEX(Register!$D$11:$D$510,MATCH($H431,Register!$J$11:$J$510,0))),INDEX(Register!$D$11:$D$510,MATCH($H431,Register!$J$11:$J$510,0)),INDEX(Register!$D$11:$D$510,MATCH($H431,Register!$J$11:$J$510,0))&amp;""))</f>
        <v/>
      </c>
      <c r="E431" s="25" t="str">
        <f aca="false">IF($H431="","",IF(ISNUMBER(INDEX(Register!$E$11:$E$510,MATCH($H431,Register!$J$11:$J$510,0))),INDEX(Register!$E$11:$E$510,MATCH($H431,Register!$J$11:$J$510,0))&amp;" mo",INDEX(Register!$E$11:$E$510,MATCH($H431,Register!$J$11:$J$510,0))&amp;""))</f>
        <v/>
      </c>
      <c r="F431" s="26" t="str">
        <f aca="false">IF($H431="","",INDEX(Register!$F$11:$F$510,MATCH($H431,Register!$J$11:$J$510,0)))</f>
        <v/>
      </c>
      <c r="G431" s="27" t="str">
        <f aca="false">IF($H431="","",IF(INDEX(Register!$G$11:$G$510,MATCH($H431,Register!$J$11:$J$510,0))="Check details","Check details: "&amp;INDEX(Register!$I$11:$I$510,MATCH($H431,Register!$J$11:$J$510,0)),INDEX(Register!$G$11:$G$510,MATCH($H431,Register!$J$11:$J$510,0))))</f>
        <v/>
      </c>
      <c r="H431" s="28" t="str">
        <f aca="false">IF(425&gt;COUNT(Register!$J$11:$J$510),"",SMALL(Register!$J$11:$J$510,425))</f>
        <v/>
      </c>
    </row>
    <row r="432" customFormat="false" ht="15" hidden="false" customHeight="false" outlineLevel="0" collapsed="false">
      <c r="A432" s="25" t="str">
        <f aca="false">IF($H432="","",INDEX(Register!$A$11:$A$510,MATCH($H432,Register!$J$11:$J$510,0))&amp;"")</f>
        <v/>
      </c>
      <c r="B432" s="25" t="str">
        <f aca="false">IF($H432="","",INDEX(Register!$B$11:$B$510,MATCH($H432,Register!$J$11:$J$510,0))&amp;"")</f>
        <v/>
      </c>
      <c r="C432" s="25" t="str">
        <f aca="false">IF($H432="","",INDEX(Register!$C$11:$C$510,MATCH($H432,Register!$J$11:$J$510,0))&amp;"")</f>
        <v/>
      </c>
      <c r="D432" s="26" t="str">
        <f aca="false">IF($H432="","",IF(ISNUMBER(INDEX(Register!$D$11:$D$510,MATCH($H432,Register!$J$11:$J$510,0))),INDEX(Register!$D$11:$D$510,MATCH($H432,Register!$J$11:$J$510,0)),INDEX(Register!$D$11:$D$510,MATCH($H432,Register!$J$11:$J$510,0))&amp;""))</f>
        <v/>
      </c>
      <c r="E432" s="25" t="str">
        <f aca="false">IF($H432="","",IF(ISNUMBER(INDEX(Register!$E$11:$E$510,MATCH($H432,Register!$J$11:$J$510,0))),INDEX(Register!$E$11:$E$510,MATCH($H432,Register!$J$11:$J$510,0))&amp;" mo",INDEX(Register!$E$11:$E$510,MATCH($H432,Register!$J$11:$J$510,0))&amp;""))</f>
        <v/>
      </c>
      <c r="F432" s="26" t="str">
        <f aca="false">IF($H432="","",INDEX(Register!$F$11:$F$510,MATCH($H432,Register!$J$11:$J$510,0)))</f>
        <v/>
      </c>
      <c r="G432" s="27" t="str">
        <f aca="false">IF($H432="","",IF(INDEX(Register!$G$11:$G$510,MATCH($H432,Register!$J$11:$J$510,0))="Check details","Check details: "&amp;INDEX(Register!$I$11:$I$510,MATCH($H432,Register!$J$11:$J$510,0)),INDEX(Register!$G$11:$G$510,MATCH($H432,Register!$J$11:$J$510,0))))</f>
        <v/>
      </c>
      <c r="H432" s="28" t="str">
        <f aca="false">IF(426&gt;COUNT(Register!$J$11:$J$510),"",SMALL(Register!$J$11:$J$510,426))</f>
        <v/>
      </c>
    </row>
    <row r="433" customFormat="false" ht="15" hidden="false" customHeight="false" outlineLevel="0" collapsed="false">
      <c r="A433" s="25" t="str">
        <f aca="false">IF($H433="","",INDEX(Register!$A$11:$A$510,MATCH($H433,Register!$J$11:$J$510,0))&amp;"")</f>
        <v/>
      </c>
      <c r="B433" s="25" t="str">
        <f aca="false">IF($H433="","",INDEX(Register!$B$11:$B$510,MATCH($H433,Register!$J$11:$J$510,0))&amp;"")</f>
        <v/>
      </c>
      <c r="C433" s="25" t="str">
        <f aca="false">IF($H433="","",INDEX(Register!$C$11:$C$510,MATCH($H433,Register!$J$11:$J$510,0))&amp;"")</f>
        <v/>
      </c>
      <c r="D433" s="26" t="str">
        <f aca="false">IF($H433="","",IF(ISNUMBER(INDEX(Register!$D$11:$D$510,MATCH($H433,Register!$J$11:$J$510,0))),INDEX(Register!$D$11:$D$510,MATCH($H433,Register!$J$11:$J$510,0)),INDEX(Register!$D$11:$D$510,MATCH($H433,Register!$J$11:$J$510,0))&amp;""))</f>
        <v/>
      </c>
      <c r="E433" s="25" t="str">
        <f aca="false">IF($H433="","",IF(ISNUMBER(INDEX(Register!$E$11:$E$510,MATCH($H433,Register!$J$11:$J$510,0))),INDEX(Register!$E$11:$E$510,MATCH($H433,Register!$J$11:$J$510,0))&amp;" mo",INDEX(Register!$E$11:$E$510,MATCH($H433,Register!$J$11:$J$510,0))&amp;""))</f>
        <v/>
      </c>
      <c r="F433" s="26" t="str">
        <f aca="false">IF($H433="","",INDEX(Register!$F$11:$F$510,MATCH($H433,Register!$J$11:$J$510,0)))</f>
        <v/>
      </c>
      <c r="G433" s="27" t="str">
        <f aca="false">IF($H433="","",IF(INDEX(Register!$G$11:$G$510,MATCH($H433,Register!$J$11:$J$510,0))="Check details","Check details: "&amp;INDEX(Register!$I$11:$I$510,MATCH($H433,Register!$J$11:$J$510,0)),INDEX(Register!$G$11:$G$510,MATCH($H433,Register!$J$11:$J$510,0))))</f>
        <v/>
      </c>
      <c r="H433" s="28" t="str">
        <f aca="false">IF(427&gt;COUNT(Register!$J$11:$J$510),"",SMALL(Register!$J$11:$J$510,427))</f>
        <v/>
      </c>
    </row>
    <row r="434" customFormat="false" ht="15" hidden="false" customHeight="false" outlineLevel="0" collapsed="false">
      <c r="A434" s="25" t="str">
        <f aca="false">IF($H434="","",INDEX(Register!$A$11:$A$510,MATCH($H434,Register!$J$11:$J$510,0))&amp;"")</f>
        <v/>
      </c>
      <c r="B434" s="25" t="str">
        <f aca="false">IF($H434="","",INDEX(Register!$B$11:$B$510,MATCH($H434,Register!$J$11:$J$510,0))&amp;"")</f>
        <v/>
      </c>
      <c r="C434" s="25" t="str">
        <f aca="false">IF($H434="","",INDEX(Register!$C$11:$C$510,MATCH($H434,Register!$J$11:$J$510,0))&amp;"")</f>
        <v/>
      </c>
      <c r="D434" s="26" t="str">
        <f aca="false">IF($H434="","",IF(ISNUMBER(INDEX(Register!$D$11:$D$510,MATCH($H434,Register!$J$11:$J$510,0))),INDEX(Register!$D$11:$D$510,MATCH($H434,Register!$J$11:$J$510,0)),INDEX(Register!$D$11:$D$510,MATCH($H434,Register!$J$11:$J$510,0))&amp;""))</f>
        <v/>
      </c>
      <c r="E434" s="25" t="str">
        <f aca="false">IF($H434="","",IF(ISNUMBER(INDEX(Register!$E$11:$E$510,MATCH($H434,Register!$J$11:$J$510,0))),INDEX(Register!$E$11:$E$510,MATCH($H434,Register!$J$11:$J$510,0))&amp;" mo",INDEX(Register!$E$11:$E$510,MATCH($H434,Register!$J$11:$J$510,0))&amp;""))</f>
        <v/>
      </c>
      <c r="F434" s="26" t="str">
        <f aca="false">IF($H434="","",INDEX(Register!$F$11:$F$510,MATCH($H434,Register!$J$11:$J$510,0)))</f>
        <v/>
      </c>
      <c r="G434" s="27" t="str">
        <f aca="false">IF($H434="","",IF(INDEX(Register!$G$11:$G$510,MATCH($H434,Register!$J$11:$J$510,0))="Check details","Check details: "&amp;INDEX(Register!$I$11:$I$510,MATCH($H434,Register!$J$11:$J$510,0)),INDEX(Register!$G$11:$G$510,MATCH($H434,Register!$J$11:$J$510,0))))</f>
        <v/>
      </c>
      <c r="H434" s="28" t="str">
        <f aca="false">IF(428&gt;COUNT(Register!$J$11:$J$510),"",SMALL(Register!$J$11:$J$510,428))</f>
        <v/>
      </c>
    </row>
    <row r="435" customFormat="false" ht="15" hidden="false" customHeight="false" outlineLevel="0" collapsed="false">
      <c r="A435" s="25" t="str">
        <f aca="false">IF($H435="","",INDEX(Register!$A$11:$A$510,MATCH($H435,Register!$J$11:$J$510,0))&amp;"")</f>
        <v/>
      </c>
      <c r="B435" s="25" t="str">
        <f aca="false">IF($H435="","",INDEX(Register!$B$11:$B$510,MATCH($H435,Register!$J$11:$J$510,0))&amp;"")</f>
        <v/>
      </c>
      <c r="C435" s="25" t="str">
        <f aca="false">IF($H435="","",INDEX(Register!$C$11:$C$510,MATCH($H435,Register!$J$11:$J$510,0))&amp;"")</f>
        <v/>
      </c>
      <c r="D435" s="26" t="str">
        <f aca="false">IF($H435="","",IF(ISNUMBER(INDEX(Register!$D$11:$D$510,MATCH($H435,Register!$J$11:$J$510,0))),INDEX(Register!$D$11:$D$510,MATCH($H435,Register!$J$11:$J$510,0)),INDEX(Register!$D$11:$D$510,MATCH($H435,Register!$J$11:$J$510,0))&amp;""))</f>
        <v/>
      </c>
      <c r="E435" s="25" t="str">
        <f aca="false">IF($H435="","",IF(ISNUMBER(INDEX(Register!$E$11:$E$510,MATCH($H435,Register!$J$11:$J$510,0))),INDEX(Register!$E$11:$E$510,MATCH($H435,Register!$J$11:$J$510,0))&amp;" mo",INDEX(Register!$E$11:$E$510,MATCH($H435,Register!$J$11:$J$510,0))&amp;""))</f>
        <v/>
      </c>
      <c r="F435" s="26" t="str">
        <f aca="false">IF($H435="","",INDEX(Register!$F$11:$F$510,MATCH($H435,Register!$J$11:$J$510,0)))</f>
        <v/>
      </c>
      <c r="G435" s="27" t="str">
        <f aca="false">IF($H435="","",IF(INDEX(Register!$G$11:$G$510,MATCH($H435,Register!$J$11:$J$510,0))="Check details","Check details: "&amp;INDEX(Register!$I$11:$I$510,MATCH($H435,Register!$J$11:$J$510,0)),INDEX(Register!$G$11:$G$510,MATCH($H435,Register!$J$11:$J$510,0))))</f>
        <v/>
      </c>
      <c r="H435" s="28" t="str">
        <f aca="false">IF(429&gt;COUNT(Register!$J$11:$J$510),"",SMALL(Register!$J$11:$J$510,429))</f>
        <v/>
      </c>
    </row>
    <row r="436" customFormat="false" ht="15" hidden="false" customHeight="false" outlineLevel="0" collapsed="false">
      <c r="A436" s="25" t="str">
        <f aca="false">IF($H436="","",INDEX(Register!$A$11:$A$510,MATCH($H436,Register!$J$11:$J$510,0))&amp;"")</f>
        <v/>
      </c>
      <c r="B436" s="25" t="str">
        <f aca="false">IF($H436="","",INDEX(Register!$B$11:$B$510,MATCH($H436,Register!$J$11:$J$510,0))&amp;"")</f>
        <v/>
      </c>
      <c r="C436" s="25" t="str">
        <f aca="false">IF($H436="","",INDEX(Register!$C$11:$C$510,MATCH($H436,Register!$J$11:$J$510,0))&amp;"")</f>
        <v/>
      </c>
      <c r="D436" s="26" t="str">
        <f aca="false">IF($H436="","",IF(ISNUMBER(INDEX(Register!$D$11:$D$510,MATCH($H436,Register!$J$11:$J$510,0))),INDEX(Register!$D$11:$D$510,MATCH($H436,Register!$J$11:$J$510,0)),INDEX(Register!$D$11:$D$510,MATCH($H436,Register!$J$11:$J$510,0))&amp;""))</f>
        <v/>
      </c>
      <c r="E436" s="25" t="str">
        <f aca="false">IF($H436="","",IF(ISNUMBER(INDEX(Register!$E$11:$E$510,MATCH($H436,Register!$J$11:$J$510,0))),INDEX(Register!$E$11:$E$510,MATCH($H436,Register!$J$11:$J$510,0))&amp;" mo",INDEX(Register!$E$11:$E$510,MATCH($H436,Register!$J$11:$J$510,0))&amp;""))</f>
        <v/>
      </c>
      <c r="F436" s="26" t="str">
        <f aca="false">IF($H436="","",INDEX(Register!$F$11:$F$510,MATCH($H436,Register!$J$11:$J$510,0)))</f>
        <v/>
      </c>
      <c r="G436" s="27" t="str">
        <f aca="false">IF($H436="","",IF(INDEX(Register!$G$11:$G$510,MATCH($H436,Register!$J$11:$J$510,0))="Check details","Check details: "&amp;INDEX(Register!$I$11:$I$510,MATCH($H436,Register!$J$11:$J$510,0)),INDEX(Register!$G$11:$G$510,MATCH($H436,Register!$J$11:$J$510,0))))</f>
        <v/>
      </c>
      <c r="H436" s="28" t="str">
        <f aca="false">IF(430&gt;COUNT(Register!$J$11:$J$510),"",SMALL(Register!$J$11:$J$510,430))</f>
        <v/>
      </c>
    </row>
    <row r="437" customFormat="false" ht="15" hidden="false" customHeight="false" outlineLevel="0" collapsed="false">
      <c r="A437" s="25" t="str">
        <f aca="false">IF($H437="","",INDEX(Register!$A$11:$A$510,MATCH($H437,Register!$J$11:$J$510,0))&amp;"")</f>
        <v/>
      </c>
      <c r="B437" s="25" t="str">
        <f aca="false">IF($H437="","",INDEX(Register!$B$11:$B$510,MATCH($H437,Register!$J$11:$J$510,0))&amp;"")</f>
        <v/>
      </c>
      <c r="C437" s="25" t="str">
        <f aca="false">IF($H437="","",INDEX(Register!$C$11:$C$510,MATCH($H437,Register!$J$11:$J$510,0))&amp;"")</f>
        <v/>
      </c>
      <c r="D437" s="26" t="str">
        <f aca="false">IF($H437="","",IF(ISNUMBER(INDEX(Register!$D$11:$D$510,MATCH($H437,Register!$J$11:$J$510,0))),INDEX(Register!$D$11:$D$510,MATCH($H437,Register!$J$11:$J$510,0)),INDEX(Register!$D$11:$D$510,MATCH($H437,Register!$J$11:$J$510,0))&amp;""))</f>
        <v/>
      </c>
      <c r="E437" s="25" t="str">
        <f aca="false">IF($H437="","",IF(ISNUMBER(INDEX(Register!$E$11:$E$510,MATCH($H437,Register!$J$11:$J$510,0))),INDEX(Register!$E$11:$E$510,MATCH($H437,Register!$J$11:$J$510,0))&amp;" mo",INDEX(Register!$E$11:$E$510,MATCH($H437,Register!$J$11:$J$510,0))&amp;""))</f>
        <v/>
      </c>
      <c r="F437" s="26" t="str">
        <f aca="false">IF($H437="","",INDEX(Register!$F$11:$F$510,MATCH($H437,Register!$J$11:$J$510,0)))</f>
        <v/>
      </c>
      <c r="G437" s="27" t="str">
        <f aca="false">IF($H437="","",IF(INDEX(Register!$G$11:$G$510,MATCH($H437,Register!$J$11:$J$510,0))="Check details","Check details: "&amp;INDEX(Register!$I$11:$I$510,MATCH($H437,Register!$J$11:$J$510,0)),INDEX(Register!$G$11:$G$510,MATCH($H437,Register!$J$11:$J$510,0))))</f>
        <v/>
      </c>
      <c r="H437" s="28" t="str">
        <f aca="false">IF(431&gt;COUNT(Register!$J$11:$J$510),"",SMALL(Register!$J$11:$J$510,431))</f>
        <v/>
      </c>
    </row>
    <row r="438" customFormat="false" ht="15" hidden="false" customHeight="false" outlineLevel="0" collapsed="false">
      <c r="A438" s="25" t="str">
        <f aca="false">IF($H438="","",INDEX(Register!$A$11:$A$510,MATCH($H438,Register!$J$11:$J$510,0))&amp;"")</f>
        <v/>
      </c>
      <c r="B438" s="25" t="str">
        <f aca="false">IF($H438="","",INDEX(Register!$B$11:$B$510,MATCH($H438,Register!$J$11:$J$510,0))&amp;"")</f>
        <v/>
      </c>
      <c r="C438" s="25" t="str">
        <f aca="false">IF($H438="","",INDEX(Register!$C$11:$C$510,MATCH($H438,Register!$J$11:$J$510,0))&amp;"")</f>
        <v/>
      </c>
      <c r="D438" s="26" t="str">
        <f aca="false">IF($H438="","",IF(ISNUMBER(INDEX(Register!$D$11:$D$510,MATCH($H438,Register!$J$11:$J$510,0))),INDEX(Register!$D$11:$D$510,MATCH($H438,Register!$J$11:$J$510,0)),INDEX(Register!$D$11:$D$510,MATCH($H438,Register!$J$11:$J$510,0))&amp;""))</f>
        <v/>
      </c>
      <c r="E438" s="25" t="str">
        <f aca="false">IF($H438="","",IF(ISNUMBER(INDEX(Register!$E$11:$E$510,MATCH($H438,Register!$J$11:$J$510,0))),INDEX(Register!$E$11:$E$510,MATCH($H438,Register!$J$11:$J$510,0))&amp;" mo",INDEX(Register!$E$11:$E$510,MATCH($H438,Register!$J$11:$J$510,0))&amp;""))</f>
        <v/>
      </c>
      <c r="F438" s="26" t="str">
        <f aca="false">IF($H438="","",INDEX(Register!$F$11:$F$510,MATCH($H438,Register!$J$11:$J$510,0)))</f>
        <v/>
      </c>
      <c r="G438" s="27" t="str">
        <f aca="false">IF($H438="","",IF(INDEX(Register!$G$11:$G$510,MATCH($H438,Register!$J$11:$J$510,0))="Check details","Check details: "&amp;INDEX(Register!$I$11:$I$510,MATCH($H438,Register!$J$11:$J$510,0)),INDEX(Register!$G$11:$G$510,MATCH($H438,Register!$J$11:$J$510,0))))</f>
        <v/>
      </c>
      <c r="H438" s="28" t="str">
        <f aca="false">IF(432&gt;COUNT(Register!$J$11:$J$510),"",SMALL(Register!$J$11:$J$510,432))</f>
        <v/>
      </c>
    </row>
    <row r="439" customFormat="false" ht="15" hidden="false" customHeight="false" outlineLevel="0" collapsed="false">
      <c r="A439" s="25" t="str">
        <f aca="false">IF($H439="","",INDEX(Register!$A$11:$A$510,MATCH($H439,Register!$J$11:$J$510,0))&amp;"")</f>
        <v/>
      </c>
      <c r="B439" s="25" t="str">
        <f aca="false">IF($H439="","",INDEX(Register!$B$11:$B$510,MATCH($H439,Register!$J$11:$J$510,0))&amp;"")</f>
        <v/>
      </c>
      <c r="C439" s="25" t="str">
        <f aca="false">IF($H439="","",INDEX(Register!$C$11:$C$510,MATCH($H439,Register!$J$11:$J$510,0))&amp;"")</f>
        <v/>
      </c>
      <c r="D439" s="26" t="str">
        <f aca="false">IF($H439="","",IF(ISNUMBER(INDEX(Register!$D$11:$D$510,MATCH($H439,Register!$J$11:$J$510,0))),INDEX(Register!$D$11:$D$510,MATCH($H439,Register!$J$11:$J$510,0)),INDEX(Register!$D$11:$D$510,MATCH($H439,Register!$J$11:$J$510,0))&amp;""))</f>
        <v/>
      </c>
      <c r="E439" s="25" t="str">
        <f aca="false">IF($H439="","",IF(ISNUMBER(INDEX(Register!$E$11:$E$510,MATCH($H439,Register!$J$11:$J$510,0))),INDEX(Register!$E$11:$E$510,MATCH($H439,Register!$J$11:$J$510,0))&amp;" mo",INDEX(Register!$E$11:$E$510,MATCH($H439,Register!$J$11:$J$510,0))&amp;""))</f>
        <v/>
      </c>
      <c r="F439" s="26" t="str">
        <f aca="false">IF($H439="","",INDEX(Register!$F$11:$F$510,MATCH($H439,Register!$J$11:$J$510,0)))</f>
        <v/>
      </c>
      <c r="G439" s="27" t="str">
        <f aca="false">IF($H439="","",IF(INDEX(Register!$G$11:$G$510,MATCH($H439,Register!$J$11:$J$510,0))="Check details","Check details: "&amp;INDEX(Register!$I$11:$I$510,MATCH($H439,Register!$J$11:$J$510,0)),INDEX(Register!$G$11:$G$510,MATCH($H439,Register!$J$11:$J$510,0))))</f>
        <v/>
      </c>
      <c r="H439" s="28" t="str">
        <f aca="false">IF(433&gt;COUNT(Register!$J$11:$J$510),"",SMALL(Register!$J$11:$J$510,433))</f>
        <v/>
      </c>
    </row>
    <row r="440" customFormat="false" ht="15" hidden="false" customHeight="false" outlineLevel="0" collapsed="false">
      <c r="A440" s="25" t="str">
        <f aca="false">IF($H440="","",INDEX(Register!$A$11:$A$510,MATCH($H440,Register!$J$11:$J$510,0))&amp;"")</f>
        <v/>
      </c>
      <c r="B440" s="25" t="str">
        <f aca="false">IF($H440="","",INDEX(Register!$B$11:$B$510,MATCH($H440,Register!$J$11:$J$510,0))&amp;"")</f>
        <v/>
      </c>
      <c r="C440" s="25" t="str">
        <f aca="false">IF($H440="","",INDEX(Register!$C$11:$C$510,MATCH($H440,Register!$J$11:$J$510,0))&amp;"")</f>
        <v/>
      </c>
      <c r="D440" s="26" t="str">
        <f aca="false">IF($H440="","",IF(ISNUMBER(INDEX(Register!$D$11:$D$510,MATCH($H440,Register!$J$11:$J$510,0))),INDEX(Register!$D$11:$D$510,MATCH($H440,Register!$J$11:$J$510,0)),INDEX(Register!$D$11:$D$510,MATCH($H440,Register!$J$11:$J$510,0))&amp;""))</f>
        <v/>
      </c>
      <c r="E440" s="25" t="str">
        <f aca="false">IF($H440="","",IF(ISNUMBER(INDEX(Register!$E$11:$E$510,MATCH($H440,Register!$J$11:$J$510,0))),INDEX(Register!$E$11:$E$510,MATCH($H440,Register!$J$11:$J$510,0))&amp;" mo",INDEX(Register!$E$11:$E$510,MATCH($H440,Register!$J$11:$J$510,0))&amp;""))</f>
        <v/>
      </c>
      <c r="F440" s="26" t="str">
        <f aca="false">IF($H440="","",INDEX(Register!$F$11:$F$510,MATCH($H440,Register!$J$11:$J$510,0)))</f>
        <v/>
      </c>
      <c r="G440" s="27" t="str">
        <f aca="false">IF($H440="","",IF(INDEX(Register!$G$11:$G$510,MATCH($H440,Register!$J$11:$J$510,0))="Check details","Check details: "&amp;INDEX(Register!$I$11:$I$510,MATCH($H440,Register!$J$11:$J$510,0)),INDEX(Register!$G$11:$G$510,MATCH($H440,Register!$J$11:$J$510,0))))</f>
        <v/>
      </c>
      <c r="H440" s="28" t="str">
        <f aca="false">IF(434&gt;COUNT(Register!$J$11:$J$510),"",SMALL(Register!$J$11:$J$510,434))</f>
        <v/>
      </c>
    </row>
    <row r="441" customFormat="false" ht="15" hidden="false" customHeight="false" outlineLevel="0" collapsed="false">
      <c r="A441" s="25" t="str">
        <f aca="false">IF($H441="","",INDEX(Register!$A$11:$A$510,MATCH($H441,Register!$J$11:$J$510,0))&amp;"")</f>
        <v/>
      </c>
      <c r="B441" s="25" t="str">
        <f aca="false">IF($H441="","",INDEX(Register!$B$11:$B$510,MATCH($H441,Register!$J$11:$J$510,0))&amp;"")</f>
        <v/>
      </c>
      <c r="C441" s="25" t="str">
        <f aca="false">IF($H441="","",INDEX(Register!$C$11:$C$510,MATCH($H441,Register!$J$11:$J$510,0))&amp;"")</f>
        <v/>
      </c>
      <c r="D441" s="26" t="str">
        <f aca="false">IF($H441="","",IF(ISNUMBER(INDEX(Register!$D$11:$D$510,MATCH($H441,Register!$J$11:$J$510,0))),INDEX(Register!$D$11:$D$510,MATCH($H441,Register!$J$11:$J$510,0)),INDEX(Register!$D$11:$D$510,MATCH($H441,Register!$J$11:$J$510,0))&amp;""))</f>
        <v/>
      </c>
      <c r="E441" s="25" t="str">
        <f aca="false">IF($H441="","",IF(ISNUMBER(INDEX(Register!$E$11:$E$510,MATCH($H441,Register!$J$11:$J$510,0))),INDEX(Register!$E$11:$E$510,MATCH($H441,Register!$J$11:$J$510,0))&amp;" mo",INDEX(Register!$E$11:$E$510,MATCH($H441,Register!$J$11:$J$510,0))&amp;""))</f>
        <v/>
      </c>
      <c r="F441" s="26" t="str">
        <f aca="false">IF($H441="","",INDEX(Register!$F$11:$F$510,MATCH($H441,Register!$J$11:$J$510,0)))</f>
        <v/>
      </c>
      <c r="G441" s="27" t="str">
        <f aca="false">IF($H441="","",IF(INDEX(Register!$G$11:$G$510,MATCH($H441,Register!$J$11:$J$510,0))="Check details","Check details: "&amp;INDEX(Register!$I$11:$I$510,MATCH($H441,Register!$J$11:$J$510,0)),INDEX(Register!$G$11:$G$510,MATCH($H441,Register!$J$11:$J$510,0))))</f>
        <v/>
      </c>
      <c r="H441" s="28" t="str">
        <f aca="false">IF(435&gt;COUNT(Register!$J$11:$J$510),"",SMALL(Register!$J$11:$J$510,435))</f>
        <v/>
      </c>
    </row>
    <row r="442" customFormat="false" ht="15" hidden="false" customHeight="false" outlineLevel="0" collapsed="false">
      <c r="A442" s="25" t="str">
        <f aca="false">IF($H442="","",INDEX(Register!$A$11:$A$510,MATCH($H442,Register!$J$11:$J$510,0))&amp;"")</f>
        <v/>
      </c>
      <c r="B442" s="25" t="str">
        <f aca="false">IF($H442="","",INDEX(Register!$B$11:$B$510,MATCH($H442,Register!$J$11:$J$510,0))&amp;"")</f>
        <v/>
      </c>
      <c r="C442" s="25" t="str">
        <f aca="false">IF($H442="","",INDEX(Register!$C$11:$C$510,MATCH($H442,Register!$J$11:$J$510,0))&amp;"")</f>
        <v/>
      </c>
      <c r="D442" s="26" t="str">
        <f aca="false">IF($H442="","",IF(ISNUMBER(INDEX(Register!$D$11:$D$510,MATCH($H442,Register!$J$11:$J$510,0))),INDEX(Register!$D$11:$D$510,MATCH($H442,Register!$J$11:$J$510,0)),INDEX(Register!$D$11:$D$510,MATCH($H442,Register!$J$11:$J$510,0))&amp;""))</f>
        <v/>
      </c>
      <c r="E442" s="25" t="str">
        <f aca="false">IF($H442="","",IF(ISNUMBER(INDEX(Register!$E$11:$E$510,MATCH($H442,Register!$J$11:$J$510,0))),INDEX(Register!$E$11:$E$510,MATCH($H442,Register!$J$11:$J$510,0))&amp;" mo",INDEX(Register!$E$11:$E$510,MATCH($H442,Register!$J$11:$J$510,0))&amp;""))</f>
        <v/>
      </c>
      <c r="F442" s="26" t="str">
        <f aca="false">IF($H442="","",INDEX(Register!$F$11:$F$510,MATCH($H442,Register!$J$11:$J$510,0)))</f>
        <v/>
      </c>
      <c r="G442" s="27" t="str">
        <f aca="false">IF($H442="","",IF(INDEX(Register!$G$11:$G$510,MATCH($H442,Register!$J$11:$J$510,0))="Check details","Check details: "&amp;INDEX(Register!$I$11:$I$510,MATCH($H442,Register!$J$11:$J$510,0)),INDEX(Register!$G$11:$G$510,MATCH($H442,Register!$J$11:$J$510,0))))</f>
        <v/>
      </c>
      <c r="H442" s="28" t="str">
        <f aca="false">IF(436&gt;COUNT(Register!$J$11:$J$510),"",SMALL(Register!$J$11:$J$510,436))</f>
        <v/>
      </c>
    </row>
    <row r="443" customFormat="false" ht="15" hidden="false" customHeight="false" outlineLevel="0" collapsed="false">
      <c r="A443" s="25" t="str">
        <f aca="false">IF($H443="","",INDEX(Register!$A$11:$A$510,MATCH($H443,Register!$J$11:$J$510,0))&amp;"")</f>
        <v/>
      </c>
      <c r="B443" s="25" t="str">
        <f aca="false">IF($H443="","",INDEX(Register!$B$11:$B$510,MATCH($H443,Register!$J$11:$J$510,0))&amp;"")</f>
        <v/>
      </c>
      <c r="C443" s="25" t="str">
        <f aca="false">IF($H443="","",INDEX(Register!$C$11:$C$510,MATCH($H443,Register!$J$11:$J$510,0))&amp;"")</f>
        <v/>
      </c>
      <c r="D443" s="26" t="str">
        <f aca="false">IF($H443="","",IF(ISNUMBER(INDEX(Register!$D$11:$D$510,MATCH($H443,Register!$J$11:$J$510,0))),INDEX(Register!$D$11:$D$510,MATCH($H443,Register!$J$11:$J$510,0)),INDEX(Register!$D$11:$D$510,MATCH($H443,Register!$J$11:$J$510,0))&amp;""))</f>
        <v/>
      </c>
      <c r="E443" s="25" t="str">
        <f aca="false">IF($H443="","",IF(ISNUMBER(INDEX(Register!$E$11:$E$510,MATCH($H443,Register!$J$11:$J$510,0))),INDEX(Register!$E$11:$E$510,MATCH($H443,Register!$J$11:$J$510,0))&amp;" mo",INDEX(Register!$E$11:$E$510,MATCH($H443,Register!$J$11:$J$510,0))&amp;""))</f>
        <v/>
      </c>
      <c r="F443" s="26" t="str">
        <f aca="false">IF($H443="","",INDEX(Register!$F$11:$F$510,MATCH($H443,Register!$J$11:$J$510,0)))</f>
        <v/>
      </c>
      <c r="G443" s="27" t="str">
        <f aca="false">IF($H443="","",IF(INDEX(Register!$G$11:$G$510,MATCH($H443,Register!$J$11:$J$510,0))="Check details","Check details: "&amp;INDEX(Register!$I$11:$I$510,MATCH($H443,Register!$J$11:$J$510,0)),INDEX(Register!$G$11:$G$510,MATCH($H443,Register!$J$11:$J$510,0))))</f>
        <v/>
      </c>
      <c r="H443" s="28" t="str">
        <f aca="false">IF(437&gt;COUNT(Register!$J$11:$J$510),"",SMALL(Register!$J$11:$J$510,437))</f>
        <v/>
      </c>
    </row>
    <row r="444" customFormat="false" ht="15" hidden="false" customHeight="false" outlineLevel="0" collapsed="false">
      <c r="A444" s="25" t="str">
        <f aca="false">IF($H444="","",INDEX(Register!$A$11:$A$510,MATCH($H444,Register!$J$11:$J$510,0))&amp;"")</f>
        <v/>
      </c>
      <c r="B444" s="25" t="str">
        <f aca="false">IF($H444="","",INDEX(Register!$B$11:$B$510,MATCH($H444,Register!$J$11:$J$510,0))&amp;"")</f>
        <v/>
      </c>
      <c r="C444" s="25" t="str">
        <f aca="false">IF($H444="","",INDEX(Register!$C$11:$C$510,MATCH($H444,Register!$J$11:$J$510,0))&amp;"")</f>
        <v/>
      </c>
      <c r="D444" s="26" t="str">
        <f aca="false">IF($H444="","",IF(ISNUMBER(INDEX(Register!$D$11:$D$510,MATCH($H444,Register!$J$11:$J$510,0))),INDEX(Register!$D$11:$D$510,MATCH($H444,Register!$J$11:$J$510,0)),INDEX(Register!$D$11:$D$510,MATCH($H444,Register!$J$11:$J$510,0))&amp;""))</f>
        <v/>
      </c>
      <c r="E444" s="25" t="str">
        <f aca="false">IF($H444="","",IF(ISNUMBER(INDEX(Register!$E$11:$E$510,MATCH($H444,Register!$J$11:$J$510,0))),INDEX(Register!$E$11:$E$510,MATCH($H444,Register!$J$11:$J$510,0))&amp;" mo",INDEX(Register!$E$11:$E$510,MATCH($H444,Register!$J$11:$J$510,0))&amp;""))</f>
        <v/>
      </c>
      <c r="F444" s="26" t="str">
        <f aca="false">IF($H444="","",INDEX(Register!$F$11:$F$510,MATCH($H444,Register!$J$11:$J$510,0)))</f>
        <v/>
      </c>
      <c r="G444" s="27" t="str">
        <f aca="false">IF($H444="","",IF(INDEX(Register!$G$11:$G$510,MATCH($H444,Register!$J$11:$J$510,0))="Check details","Check details: "&amp;INDEX(Register!$I$11:$I$510,MATCH($H444,Register!$J$11:$J$510,0)),INDEX(Register!$G$11:$G$510,MATCH($H444,Register!$J$11:$J$510,0))))</f>
        <v/>
      </c>
      <c r="H444" s="28" t="str">
        <f aca="false">IF(438&gt;COUNT(Register!$J$11:$J$510),"",SMALL(Register!$J$11:$J$510,438))</f>
        <v/>
      </c>
    </row>
    <row r="445" customFormat="false" ht="15" hidden="false" customHeight="false" outlineLevel="0" collapsed="false">
      <c r="A445" s="25" t="str">
        <f aca="false">IF($H445="","",INDEX(Register!$A$11:$A$510,MATCH($H445,Register!$J$11:$J$510,0))&amp;"")</f>
        <v/>
      </c>
      <c r="B445" s="25" t="str">
        <f aca="false">IF($H445="","",INDEX(Register!$B$11:$B$510,MATCH($H445,Register!$J$11:$J$510,0))&amp;"")</f>
        <v/>
      </c>
      <c r="C445" s="25" t="str">
        <f aca="false">IF($H445="","",INDEX(Register!$C$11:$C$510,MATCH($H445,Register!$J$11:$J$510,0))&amp;"")</f>
        <v/>
      </c>
      <c r="D445" s="26" t="str">
        <f aca="false">IF($H445="","",IF(ISNUMBER(INDEX(Register!$D$11:$D$510,MATCH($H445,Register!$J$11:$J$510,0))),INDEX(Register!$D$11:$D$510,MATCH($H445,Register!$J$11:$J$510,0)),INDEX(Register!$D$11:$D$510,MATCH($H445,Register!$J$11:$J$510,0))&amp;""))</f>
        <v/>
      </c>
      <c r="E445" s="25" t="str">
        <f aca="false">IF($H445="","",IF(ISNUMBER(INDEX(Register!$E$11:$E$510,MATCH($H445,Register!$J$11:$J$510,0))),INDEX(Register!$E$11:$E$510,MATCH($H445,Register!$J$11:$J$510,0))&amp;" mo",INDEX(Register!$E$11:$E$510,MATCH($H445,Register!$J$11:$J$510,0))&amp;""))</f>
        <v/>
      </c>
      <c r="F445" s="26" t="str">
        <f aca="false">IF($H445="","",INDEX(Register!$F$11:$F$510,MATCH($H445,Register!$J$11:$J$510,0)))</f>
        <v/>
      </c>
      <c r="G445" s="27" t="str">
        <f aca="false">IF($H445="","",IF(INDEX(Register!$G$11:$G$510,MATCH($H445,Register!$J$11:$J$510,0))="Check details","Check details: "&amp;INDEX(Register!$I$11:$I$510,MATCH($H445,Register!$J$11:$J$510,0)),INDEX(Register!$G$11:$G$510,MATCH($H445,Register!$J$11:$J$510,0))))</f>
        <v/>
      </c>
      <c r="H445" s="28" t="str">
        <f aca="false">IF(439&gt;COUNT(Register!$J$11:$J$510),"",SMALL(Register!$J$11:$J$510,439))</f>
        <v/>
      </c>
    </row>
    <row r="446" customFormat="false" ht="15" hidden="false" customHeight="false" outlineLevel="0" collapsed="false">
      <c r="A446" s="25" t="str">
        <f aca="false">IF($H446="","",INDEX(Register!$A$11:$A$510,MATCH($H446,Register!$J$11:$J$510,0))&amp;"")</f>
        <v/>
      </c>
      <c r="B446" s="25" t="str">
        <f aca="false">IF($H446="","",INDEX(Register!$B$11:$B$510,MATCH($H446,Register!$J$11:$J$510,0))&amp;"")</f>
        <v/>
      </c>
      <c r="C446" s="25" t="str">
        <f aca="false">IF($H446="","",INDEX(Register!$C$11:$C$510,MATCH($H446,Register!$J$11:$J$510,0))&amp;"")</f>
        <v/>
      </c>
      <c r="D446" s="26" t="str">
        <f aca="false">IF($H446="","",IF(ISNUMBER(INDEX(Register!$D$11:$D$510,MATCH($H446,Register!$J$11:$J$510,0))),INDEX(Register!$D$11:$D$510,MATCH($H446,Register!$J$11:$J$510,0)),INDEX(Register!$D$11:$D$510,MATCH($H446,Register!$J$11:$J$510,0))&amp;""))</f>
        <v/>
      </c>
      <c r="E446" s="25" t="str">
        <f aca="false">IF($H446="","",IF(ISNUMBER(INDEX(Register!$E$11:$E$510,MATCH($H446,Register!$J$11:$J$510,0))),INDEX(Register!$E$11:$E$510,MATCH($H446,Register!$J$11:$J$510,0))&amp;" mo",INDEX(Register!$E$11:$E$510,MATCH($H446,Register!$J$11:$J$510,0))&amp;""))</f>
        <v/>
      </c>
      <c r="F446" s="26" t="str">
        <f aca="false">IF($H446="","",INDEX(Register!$F$11:$F$510,MATCH($H446,Register!$J$11:$J$510,0)))</f>
        <v/>
      </c>
      <c r="G446" s="27" t="str">
        <f aca="false">IF($H446="","",IF(INDEX(Register!$G$11:$G$510,MATCH($H446,Register!$J$11:$J$510,0))="Check details","Check details: "&amp;INDEX(Register!$I$11:$I$510,MATCH($H446,Register!$J$11:$J$510,0)),INDEX(Register!$G$11:$G$510,MATCH($H446,Register!$J$11:$J$510,0))))</f>
        <v/>
      </c>
      <c r="H446" s="28" t="str">
        <f aca="false">IF(440&gt;COUNT(Register!$J$11:$J$510),"",SMALL(Register!$J$11:$J$510,440))</f>
        <v/>
      </c>
    </row>
    <row r="447" customFormat="false" ht="15" hidden="false" customHeight="false" outlineLevel="0" collapsed="false">
      <c r="A447" s="25" t="str">
        <f aca="false">IF($H447="","",INDEX(Register!$A$11:$A$510,MATCH($H447,Register!$J$11:$J$510,0))&amp;"")</f>
        <v/>
      </c>
      <c r="B447" s="25" t="str">
        <f aca="false">IF($H447="","",INDEX(Register!$B$11:$B$510,MATCH($H447,Register!$J$11:$J$510,0))&amp;"")</f>
        <v/>
      </c>
      <c r="C447" s="25" t="str">
        <f aca="false">IF($H447="","",INDEX(Register!$C$11:$C$510,MATCH($H447,Register!$J$11:$J$510,0))&amp;"")</f>
        <v/>
      </c>
      <c r="D447" s="26" t="str">
        <f aca="false">IF($H447="","",IF(ISNUMBER(INDEX(Register!$D$11:$D$510,MATCH($H447,Register!$J$11:$J$510,0))),INDEX(Register!$D$11:$D$510,MATCH($H447,Register!$J$11:$J$510,0)),INDEX(Register!$D$11:$D$510,MATCH($H447,Register!$J$11:$J$510,0))&amp;""))</f>
        <v/>
      </c>
      <c r="E447" s="25" t="str">
        <f aca="false">IF($H447="","",IF(ISNUMBER(INDEX(Register!$E$11:$E$510,MATCH($H447,Register!$J$11:$J$510,0))),INDEX(Register!$E$11:$E$510,MATCH($H447,Register!$J$11:$J$510,0))&amp;" mo",INDEX(Register!$E$11:$E$510,MATCH($H447,Register!$J$11:$J$510,0))&amp;""))</f>
        <v/>
      </c>
      <c r="F447" s="26" t="str">
        <f aca="false">IF($H447="","",INDEX(Register!$F$11:$F$510,MATCH($H447,Register!$J$11:$J$510,0)))</f>
        <v/>
      </c>
      <c r="G447" s="27" t="str">
        <f aca="false">IF($H447="","",IF(INDEX(Register!$G$11:$G$510,MATCH($H447,Register!$J$11:$J$510,0))="Check details","Check details: "&amp;INDEX(Register!$I$11:$I$510,MATCH($H447,Register!$J$11:$J$510,0)),INDEX(Register!$G$11:$G$510,MATCH($H447,Register!$J$11:$J$510,0))))</f>
        <v/>
      </c>
      <c r="H447" s="28" t="str">
        <f aca="false">IF(441&gt;COUNT(Register!$J$11:$J$510),"",SMALL(Register!$J$11:$J$510,441))</f>
        <v/>
      </c>
    </row>
    <row r="448" customFormat="false" ht="15" hidden="false" customHeight="false" outlineLevel="0" collapsed="false">
      <c r="A448" s="25" t="str">
        <f aca="false">IF($H448="","",INDEX(Register!$A$11:$A$510,MATCH($H448,Register!$J$11:$J$510,0))&amp;"")</f>
        <v/>
      </c>
      <c r="B448" s="25" t="str">
        <f aca="false">IF($H448="","",INDEX(Register!$B$11:$B$510,MATCH($H448,Register!$J$11:$J$510,0))&amp;"")</f>
        <v/>
      </c>
      <c r="C448" s="25" t="str">
        <f aca="false">IF($H448="","",INDEX(Register!$C$11:$C$510,MATCH($H448,Register!$J$11:$J$510,0))&amp;"")</f>
        <v/>
      </c>
      <c r="D448" s="26" t="str">
        <f aca="false">IF($H448="","",IF(ISNUMBER(INDEX(Register!$D$11:$D$510,MATCH($H448,Register!$J$11:$J$510,0))),INDEX(Register!$D$11:$D$510,MATCH($H448,Register!$J$11:$J$510,0)),INDEX(Register!$D$11:$D$510,MATCH($H448,Register!$J$11:$J$510,0))&amp;""))</f>
        <v/>
      </c>
      <c r="E448" s="25" t="str">
        <f aca="false">IF($H448="","",IF(ISNUMBER(INDEX(Register!$E$11:$E$510,MATCH($H448,Register!$J$11:$J$510,0))),INDEX(Register!$E$11:$E$510,MATCH($H448,Register!$J$11:$J$510,0))&amp;" mo",INDEX(Register!$E$11:$E$510,MATCH($H448,Register!$J$11:$J$510,0))&amp;""))</f>
        <v/>
      </c>
      <c r="F448" s="26" t="str">
        <f aca="false">IF($H448="","",INDEX(Register!$F$11:$F$510,MATCH($H448,Register!$J$11:$J$510,0)))</f>
        <v/>
      </c>
      <c r="G448" s="27" t="str">
        <f aca="false">IF($H448="","",IF(INDEX(Register!$G$11:$G$510,MATCH($H448,Register!$J$11:$J$510,0))="Check details","Check details: "&amp;INDEX(Register!$I$11:$I$510,MATCH($H448,Register!$J$11:$J$510,0)),INDEX(Register!$G$11:$G$510,MATCH($H448,Register!$J$11:$J$510,0))))</f>
        <v/>
      </c>
      <c r="H448" s="28" t="str">
        <f aca="false">IF(442&gt;COUNT(Register!$J$11:$J$510),"",SMALL(Register!$J$11:$J$510,442))</f>
        <v/>
      </c>
    </row>
    <row r="449" customFormat="false" ht="15" hidden="false" customHeight="false" outlineLevel="0" collapsed="false">
      <c r="A449" s="25" t="str">
        <f aca="false">IF($H449="","",INDEX(Register!$A$11:$A$510,MATCH($H449,Register!$J$11:$J$510,0))&amp;"")</f>
        <v/>
      </c>
      <c r="B449" s="25" t="str">
        <f aca="false">IF($H449="","",INDEX(Register!$B$11:$B$510,MATCH($H449,Register!$J$11:$J$510,0))&amp;"")</f>
        <v/>
      </c>
      <c r="C449" s="25" t="str">
        <f aca="false">IF($H449="","",INDEX(Register!$C$11:$C$510,MATCH($H449,Register!$J$11:$J$510,0))&amp;"")</f>
        <v/>
      </c>
      <c r="D449" s="26" t="str">
        <f aca="false">IF($H449="","",IF(ISNUMBER(INDEX(Register!$D$11:$D$510,MATCH($H449,Register!$J$11:$J$510,0))),INDEX(Register!$D$11:$D$510,MATCH($H449,Register!$J$11:$J$510,0)),INDEX(Register!$D$11:$D$510,MATCH($H449,Register!$J$11:$J$510,0))&amp;""))</f>
        <v/>
      </c>
      <c r="E449" s="25" t="str">
        <f aca="false">IF($H449="","",IF(ISNUMBER(INDEX(Register!$E$11:$E$510,MATCH($H449,Register!$J$11:$J$510,0))),INDEX(Register!$E$11:$E$510,MATCH($H449,Register!$J$11:$J$510,0))&amp;" mo",INDEX(Register!$E$11:$E$510,MATCH($H449,Register!$J$11:$J$510,0))&amp;""))</f>
        <v/>
      </c>
      <c r="F449" s="26" t="str">
        <f aca="false">IF($H449="","",INDEX(Register!$F$11:$F$510,MATCH($H449,Register!$J$11:$J$510,0)))</f>
        <v/>
      </c>
      <c r="G449" s="27" t="str">
        <f aca="false">IF($H449="","",IF(INDEX(Register!$G$11:$G$510,MATCH($H449,Register!$J$11:$J$510,0))="Check details","Check details: "&amp;INDEX(Register!$I$11:$I$510,MATCH($H449,Register!$J$11:$J$510,0)),INDEX(Register!$G$11:$G$510,MATCH($H449,Register!$J$11:$J$510,0))))</f>
        <v/>
      </c>
      <c r="H449" s="28" t="str">
        <f aca="false">IF(443&gt;COUNT(Register!$J$11:$J$510),"",SMALL(Register!$J$11:$J$510,443))</f>
        <v/>
      </c>
    </row>
    <row r="450" customFormat="false" ht="15" hidden="false" customHeight="false" outlineLevel="0" collapsed="false">
      <c r="A450" s="25" t="str">
        <f aca="false">IF($H450="","",INDEX(Register!$A$11:$A$510,MATCH($H450,Register!$J$11:$J$510,0))&amp;"")</f>
        <v/>
      </c>
      <c r="B450" s="25" t="str">
        <f aca="false">IF($H450="","",INDEX(Register!$B$11:$B$510,MATCH($H450,Register!$J$11:$J$510,0))&amp;"")</f>
        <v/>
      </c>
      <c r="C450" s="25" t="str">
        <f aca="false">IF($H450="","",INDEX(Register!$C$11:$C$510,MATCH($H450,Register!$J$11:$J$510,0))&amp;"")</f>
        <v/>
      </c>
      <c r="D450" s="26" t="str">
        <f aca="false">IF($H450="","",IF(ISNUMBER(INDEX(Register!$D$11:$D$510,MATCH($H450,Register!$J$11:$J$510,0))),INDEX(Register!$D$11:$D$510,MATCH($H450,Register!$J$11:$J$510,0)),INDEX(Register!$D$11:$D$510,MATCH($H450,Register!$J$11:$J$510,0))&amp;""))</f>
        <v/>
      </c>
      <c r="E450" s="25" t="str">
        <f aca="false">IF($H450="","",IF(ISNUMBER(INDEX(Register!$E$11:$E$510,MATCH($H450,Register!$J$11:$J$510,0))),INDEX(Register!$E$11:$E$510,MATCH($H450,Register!$J$11:$J$510,0))&amp;" mo",INDEX(Register!$E$11:$E$510,MATCH($H450,Register!$J$11:$J$510,0))&amp;""))</f>
        <v/>
      </c>
      <c r="F450" s="26" t="str">
        <f aca="false">IF($H450="","",INDEX(Register!$F$11:$F$510,MATCH($H450,Register!$J$11:$J$510,0)))</f>
        <v/>
      </c>
      <c r="G450" s="27" t="str">
        <f aca="false">IF($H450="","",IF(INDEX(Register!$G$11:$G$510,MATCH($H450,Register!$J$11:$J$510,0))="Check details","Check details: "&amp;INDEX(Register!$I$11:$I$510,MATCH($H450,Register!$J$11:$J$510,0)),INDEX(Register!$G$11:$G$510,MATCH($H450,Register!$J$11:$J$510,0))))</f>
        <v/>
      </c>
      <c r="H450" s="28" t="str">
        <f aca="false">IF(444&gt;COUNT(Register!$J$11:$J$510),"",SMALL(Register!$J$11:$J$510,444))</f>
        <v/>
      </c>
    </row>
    <row r="451" customFormat="false" ht="15" hidden="false" customHeight="false" outlineLevel="0" collapsed="false">
      <c r="A451" s="25" t="str">
        <f aca="false">IF($H451="","",INDEX(Register!$A$11:$A$510,MATCH($H451,Register!$J$11:$J$510,0))&amp;"")</f>
        <v/>
      </c>
      <c r="B451" s="25" t="str">
        <f aca="false">IF($H451="","",INDEX(Register!$B$11:$B$510,MATCH($H451,Register!$J$11:$J$510,0))&amp;"")</f>
        <v/>
      </c>
      <c r="C451" s="25" t="str">
        <f aca="false">IF($H451="","",INDEX(Register!$C$11:$C$510,MATCH($H451,Register!$J$11:$J$510,0))&amp;"")</f>
        <v/>
      </c>
      <c r="D451" s="26" t="str">
        <f aca="false">IF($H451="","",IF(ISNUMBER(INDEX(Register!$D$11:$D$510,MATCH($H451,Register!$J$11:$J$510,0))),INDEX(Register!$D$11:$D$510,MATCH($H451,Register!$J$11:$J$510,0)),INDEX(Register!$D$11:$D$510,MATCH($H451,Register!$J$11:$J$510,0))&amp;""))</f>
        <v/>
      </c>
      <c r="E451" s="25" t="str">
        <f aca="false">IF($H451="","",IF(ISNUMBER(INDEX(Register!$E$11:$E$510,MATCH($H451,Register!$J$11:$J$510,0))),INDEX(Register!$E$11:$E$510,MATCH($H451,Register!$J$11:$J$510,0))&amp;" mo",INDEX(Register!$E$11:$E$510,MATCH($H451,Register!$J$11:$J$510,0))&amp;""))</f>
        <v/>
      </c>
      <c r="F451" s="26" t="str">
        <f aca="false">IF($H451="","",INDEX(Register!$F$11:$F$510,MATCH($H451,Register!$J$11:$J$510,0)))</f>
        <v/>
      </c>
      <c r="G451" s="27" t="str">
        <f aca="false">IF($H451="","",IF(INDEX(Register!$G$11:$G$510,MATCH($H451,Register!$J$11:$J$510,0))="Check details","Check details: "&amp;INDEX(Register!$I$11:$I$510,MATCH($H451,Register!$J$11:$J$510,0)),INDEX(Register!$G$11:$G$510,MATCH($H451,Register!$J$11:$J$510,0))))</f>
        <v/>
      </c>
      <c r="H451" s="28" t="str">
        <f aca="false">IF(445&gt;COUNT(Register!$J$11:$J$510),"",SMALL(Register!$J$11:$J$510,445))</f>
        <v/>
      </c>
    </row>
    <row r="452" customFormat="false" ht="15" hidden="false" customHeight="false" outlineLevel="0" collapsed="false">
      <c r="A452" s="25" t="str">
        <f aca="false">IF($H452="","",INDEX(Register!$A$11:$A$510,MATCH($H452,Register!$J$11:$J$510,0))&amp;"")</f>
        <v/>
      </c>
      <c r="B452" s="25" t="str">
        <f aca="false">IF($H452="","",INDEX(Register!$B$11:$B$510,MATCH($H452,Register!$J$11:$J$510,0))&amp;"")</f>
        <v/>
      </c>
      <c r="C452" s="25" t="str">
        <f aca="false">IF($H452="","",INDEX(Register!$C$11:$C$510,MATCH($H452,Register!$J$11:$J$510,0))&amp;"")</f>
        <v/>
      </c>
      <c r="D452" s="26" t="str">
        <f aca="false">IF($H452="","",IF(ISNUMBER(INDEX(Register!$D$11:$D$510,MATCH($H452,Register!$J$11:$J$510,0))),INDEX(Register!$D$11:$D$510,MATCH($H452,Register!$J$11:$J$510,0)),INDEX(Register!$D$11:$D$510,MATCH($H452,Register!$J$11:$J$510,0))&amp;""))</f>
        <v/>
      </c>
      <c r="E452" s="25" t="str">
        <f aca="false">IF($H452="","",IF(ISNUMBER(INDEX(Register!$E$11:$E$510,MATCH($H452,Register!$J$11:$J$510,0))),INDEX(Register!$E$11:$E$510,MATCH($H452,Register!$J$11:$J$510,0))&amp;" mo",INDEX(Register!$E$11:$E$510,MATCH($H452,Register!$J$11:$J$510,0))&amp;""))</f>
        <v/>
      </c>
      <c r="F452" s="26" t="str">
        <f aca="false">IF($H452="","",INDEX(Register!$F$11:$F$510,MATCH($H452,Register!$J$11:$J$510,0)))</f>
        <v/>
      </c>
      <c r="G452" s="27" t="str">
        <f aca="false">IF($H452="","",IF(INDEX(Register!$G$11:$G$510,MATCH($H452,Register!$J$11:$J$510,0))="Check details","Check details: "&amp;INDEX(Register!$I$11:$I$510,MATCH($H452,Register!$J$11:$J$510,0)),INDEX(Register!$G$11:$G$510,MATCH($H452,Register!$J$11:$J$510,0))))</f>
        <v/>
      </c>
      <c r="H452" s="28" t="str">
        <f aca="false">IF(446&gt;COUNT(Register!$J$11:$J$510),"",SMALL(Register!$J$11:$J$510,446))</f>
        <v/>
      </c>
    </row>
    <row r="453" customFormat="false" ht="15" hidden="false" customHeight="false" outlineLevel="0" collapsed="false">
      <c r="A453" s="25" t="str">
        <f aca="false">IF($H453="","",INDEX(Register!$A$11:$A$510,MATCH($H453,Register!$J$11:$J$510,0))&amp;"")</f>
        <v/>
      </c>
      <c r="B453" s="25" t="str">
        <f aca="false">IF($H453="","",INDEX(Register!$B$11:$B$510,MATCH($H453,Register!$J$11:$J$510,0))&amp;"")</f>
        <v/>
      </c>
      <c r="C453" s="25" t="str">
        <f aca="false">IF($H453="","",INDEX(Register!$C$11:$C$510,MATCH($H453,Register!$J$11:$J$510,0))&amp;"")</f>
        <v/>
      </c>
      <c r="D453" s="26" t="str">
        <f aca="false">IF($H453="","",IF(ISNUMBER(INDEX(Register!$D$11:$D$510,MATCH($H453,Register!$J$11:$J$510,0))),INDEX(Register!$D$11:$D$510,MATCH($H453,Register!$J$11:$J$510,0)),INDEX(Register!$D$11:$D$510,MATCH($H453,Register!$J$11:$J$510,0))&amp;""))</f>
        <v/>
      </c>
      <c r="E453" s="25" t="str">
        <f aca="false">IF($H453="","",IF(ISNUMBER(INDEX(Register!$E$11:$E$510,MATCH($H453,Register!$J$11:$J$510,0))),INDEX(Register!$E$11:$E$510,MATCH($H453,Register!$J$11:$J$510,0))&amp;" mo",INDEX(Register!$E$11:$E$510,MATCH($H453,Register!$J$11:$J$510,0))&amp;""))</f>
        <v/>
      </c>
      <c r="F453" s="26" t="str">
        <f aca="false">IF($H453="","",INDEX(Register!$F$11:$F$510,MATCH($H453,Register!$J$11:$J$510,0)))</f>
        <v/>
      </c>
      <c r="G453" s="27" t="str">
        <f aca="false">IF($H453="","",IF(INDEX(Register!$G$11:$G$510,MATCH($H453,Register!$J$11:$J$510,0))="Check details","Check details: "&amp;INDEX(Register!$I$11:$I$510,MATCH($H453,Register!$J$11:$J$510,0)),INDEX(Register!$G$11:$G$510,MATCH($H453,Register!$J$11:$J$510,0))))</f>
        <v/>
      </c>
      <c r="H453" s="28" t="str">
        <f aca="false">IF(447&gt;COUNT(Register!$J$11:$J$510),"",SMALL(Register!$J$11:$J$510,447))</f>
        <v/>
      </c>
    </row>
    <row r="454" customFormat="false" ht="15" hidden="false" customHeight="false" outlineLevel="0" collapsed="false">
      <c r="A454" s="25" t="str">
        <f aca="false">IF($H454="","",INDEX(Register!$A$11:$A$510,MATCH($H454,Register!$J$11:$J$510,0))&amp;"")</f>
        <v/>
      </c>
      <c r="B454" s="25" t="str">
        <f aca="false">IF($H454="","",INDEX(Register!$B$11:$B$510,MATCH($H454,Register!$J$11:$J$510,0))&amp;"")</f>
        <v/>
      </c>
      <c r="C454" s="25" t="str">
        <f aca="false">IF($H454="","",INDEX(Register!$C$11:$C$510,MATCH($H454,Register!$J$11:$J$510,0))&amp;"")</f>
        <v/>
      </c>
      <c r="D454" s="26" t="str">
        <f aca="false">IF($H454="","",IF(ISNUMBER(INDEX(Register!$D$11:$D$510,MATCH($H454,Register!$J$11:$J$510,0))),INDEX(Register!$D$11:$D$510,MATCH($H454,Register!$J$11:$J$510,0)),INDEX(Register!$D$11:$D$510,MATCH($H454,Register!$J$11:$J$510,0))&amp;""))</f>
        <v/>
      </c>
      <c r="E454" s="25" t="str">
        <f aca="false">IF($H454="","",IF(ISNUMBER(INDEX(Register!$E$11:$E$510,MATCH($H454,Register!$J$11:$J$510,0))),INDEX(Register!$E$11:$E$510,MATCH($H454,Register!$J$11:$J$510,0))&amp;" mo",INDEX(Register!$E$11:$E$510,MATCH($H454,Register!$J$11:$J$510,0))&amp;""))</f>
        <v/>
      </c>
      <c r="F454" s="26" t="str">
        <f aca="false">IF($H454="","",INDEX(Register!$F$11:$F$510,MATCH($H454,Register!$J$11:$J$510,0)))</f>
        <v/>
      </c>
      <c r="G454" s="27" t="str">
        <f aca="false">IF($H454="","",IF(INDEX(Register!$G$11:$G$510,MATCH($H454,Register!$J$11:$J$510,0))="Check details","Check details: "&amp;INDEX(Register!$I$11:$I$510,MATCH($H454,Register!$J$11:$J$510,0)),INDEX(Register!$G$11:$G$510,MATCH($H454,Register!$J$11:$J$510,0))))</f>
        <v/>
      </c>
      <c r="H454" s="28" t="str">
        <f aca="false">IF(448&gt;COUNT(Register!$J$11:$J$510),"",SMALL(Register!$J$11:$J$510,448))</f>
        <v/>
      </c>
    </row>
    <row r="455" customFormat="false" ht="15" hidden="false" customHeight="false" outlineLevel="0" collapsed="false">
      <c r="A455" s="25" t="str">
        <f aca="false">IF($H455="","",INDEX(Register!$A$11:$A$510,MATCH($H455,Register!$J$11:$J$510,0))&amp;"")</f>
        <v/>
      </c>
      <c r="B455" s="25" t="str">
        <f aca="false">IF($H455="","",INDEX(Register!$B$11:$B$510,MATCH($H455,Register!$J$11:$J$510,0))&amp;"")</f>
        <v/>
      </c>
      <c r="C455" s="25" t="str">
        <f aca="false">IF($H455="","",INDEX(Register!$C$11:$C$510,MATCH($H455,Register!$J$11:$J$510,0))&amp;"")</f>
        <v/>
      </c>
      <c r="D455" s="26" t="str">
        <f aca="false">IF($H455="","",IF(ISNUMBER(INDEX(Register!$D$11:$D$510,MATCH($H455,Register!$J$11:$J$510,0))),INDEX(Register!$D$11:$D$510,MATCH($H455,Register!$J$11:$J$510,0)),INDEX(Register!$D$11:$D$510,MATCH($H455,Register!$J$11:$J$510,0))&amp;""))</f>
        <v/>
      </c>
      <c r="E455" s="25" t="str">
        <f aca="false">IF($H455="","",IF(ISNUMBER(INDEX(Register!$E$11:$E$510,MATCH($H455,Register!$J$11:$J$510,0))),INDEX(Register!$E$11:$E$510,MATCH($H455,Register!$J$11:$J$510,0))&amp;" mo",INDEX(Register!$E$11:$E$510,MATCH($H455,Register!$J$11:$J$510,0))&amp;""))</f>
        <v/>
      </c>
      <c r="F455" s="26" t="str">
        <f aca="false">IF($H455="","",INDEX(Register!$F$11:$F$510,MATCH($H455,Register!$J$11:$J$510,0)))</f>
        <v/>
      </c>
      <c r="G455" s="27" t="str">
        <f aca="false">IF($H455="","",IF(INDEX(Register!$G$11:$G$510,MATCH($H455,Register!$J$11:$J$510,0))="Check details","Check details: "&amp;INDEX(Register!$I$11:$I$510,MATCH($H455,Register!$J$11:$J$510,0)),INDEX(Register!$G$11:$G$510,MATCH($H455,Register!$J$11:$J$510,0))))</f>
        <v/>
      </c>
      <c r="H455" s="28" t="str">
        <f aca="false">IF(449&gt;COUNT(Register!$J$11:$J$510),"",SMALL(Register!$J$11:$J$510,449))</f>
        <v/>
      </c>
    </row>
    <row r="456" customFormat="false" ht="15" hidden="false" customHeight="false" outlineLevel="0" collapsed="false">
      <c r="A456" s="25" t="str">
        <f aca="false">IF($H456="","",INDEX(Register!$A$11:$A$510,MATCH($H456,Register!$J$11:$J$510,0))&amp;"")</f>
        <v/>
      </c>
      <c r="B456" s="25" t="str">
        <f aca="false">IF($H456="","",INDEX(Register!$B$11:$B$510,MATCH($H456,Register!$J$11:$J$510,0))&amp;"")</f>
        <v/>
      </c>
      <c r="C456" s="25" t="str">
        <f aca="false">IF($H456="","",INDEX(Register!$C$11:$C$510,MATCH($H456,Register!$J$11:$J$510,0))&amp;"")</f>
        <v/>
      </c>
      <c r="D456" s="26" t="str">
        <f aca="false">IF($H456="","",IF(ISNUMBER(INDEX(Register!$D$11:$D$510,MATCH($H456,Register!$J$11:$J$510,0))),INDEX(Register!$D$11:$D$510,MATCH($H456,Register!$J$11:$J$510,0)),INDEX(Register!$D$11:$D$510,MATCH($H456,Register!$J$11:$J$510,0))&amp;""))</f>
        <v/>
      </c>
      <c r="E456" s="25" t="str">
        <f aca="false">IF($H456="","",IF(ISNUMBER(INDEX(Register!$E$11:$E$510,MATCH($H456,Register!$J$11:$J$510,0))),INDEX(Register!$E$11:$E$510,MATCH($H456,Register!$J$11:$J$510,0))&amp;" mo",INDEX(Register!$E$11:$E$510,MATCH($H456,Register!$J$11:$J$510,0))&amp;""))</f>
        <v/>
      </c>
      <c r="F456" s="26" t="str">
        <f aca="false">IF($H456="","",INDEX(Register!$F$11:$F$510,MATCH($H456,Register!$J$11:$J$510,0)))</f>
        <v/>
      </c>
      <c r="G456" s="27" t="str">
        <f aca="false">IF($H456="","",IF(INDEX(Register!$G$11:$G$510,MATCH($H456,Register!$J$11:$J$510,0))="Check details","Check details: "&amp;INDEX(Register!$I$11:$I$510,MATCH($H456,Register!$J$11:$J$510,0)),INDEX(Register!$G$11:$G$510,MATCH($H456,Register!$J$11:$J$510,0))))</f>
        <v/>
      </c>
      <c r="H456" s="28" t="str">
        <f aca="false">IF(450&gt;COUNT(Register!$J$11:$J$510),"",SMALL(Register!$J$11:$J$510,450))</f>
        <v/>
      </c>
    </row>
    <row r="457" customFormat="false" ht="15" hidden="false" customHeight="false" outlineLevel="0" collapsed="false">
      <c r="A457" s="25" t="str">
        <f aca="false">IF($H457="","",INDEX(Register!$A$11:$A$510,MATCH($H457,Register!$J$11:$J$510,0))&amp;"")</f>
        <v/>
      </c>
      <c r="B457" s="25" t="str">
        <f aca="false">IF($H457="","",INDEX(Register!$B$11:$B$510,MATCH($H457,Register!$J$11:$J$510,0))&amp;"")</f>
        <v/>
      </c>
      <c r="C457" s="25" t="str">
        <f aca="false">IF($H457="","",INDEX(Register!$C$11:$C$510,MATCH($H457,Register!$J$11:$J$510,0))&amp;"")</f>
        <v/>
      </c>
      <c r="D457" s="26" t="str">
        <f aca="false">IF($H457="","",IF(ISNUMBER(INDEX(Register!$D$11:$D$510,MATCH($H457,Register!$J$11:$J$510,0))),INDEX(Register!$D$11:$D$510,MATCH($H457,Register!$J$11:$J$510,0)),INDEX(Register!$D$11:$D$510,MATCH($H457,Register!$J$11:$J$510,0))&amp;""))</f>
        <v/>
      </c>
      <c r="E457" s="25" t="str">
        <f aca="false">IF($H457="","",IF(ISNUMBER(INDEX(Register!$E$11:$E$510,MATCH($H457,Register!$J$11:$J$510,0))),INDEX(Register!$E$11:$E$510,MATCH($H457,Register!$J$11:$J$510,0))&amp;" mo",INDEX(Register!$E$11:$E$510,MATCH($H457,Register!$J$11:$J$510,0))&amp;""))</f>
        <v/>
      </c>
      <c r="F457" s="26" t="str">
        <f aca="false">IF($H457="","",INDEX(Register!$F$11:$F$510,MATCH($H457,Register!$J$11:$J$510,0)))</f>
        <v/>
      </c>
      <c r="G457" s="27" t="str">
        <f aca="false">IF($H457="","",IF(INDEX(Register!$G$11:$G$510,MATCH($H457,Register!$J$11:$J$510,0))="Check details","Check details: "&amp;INDEX(Register!$I$11:$I$510,MATCH($H457,Register!$J$11:$J$510,0)),INDEX(Register!$G$11:$G$510,MATCH($H457,Register!$J$11:$J$510,0))))</f>
        <v/>
      </c>
      <c r="H457" s="28" t="str">
        <f aca="false">IF(451&gt;COUNT(Register!$J$11:$J$510),"",SMALL(Register!$J$11:$J$510,451))</f>
        <v/>
      </c>
    </row>
    <row r="458" customFormat="false" ht="15" hidden="false" customHeight="false" outlineLevel="0" collapsed="false">
      <c r="A458" s="25" t="str">
        <f aca="false">IF($H458="","",INDEX(Register!$A$11:$A$510,MATCH($H458,Register!$J$11:$J$510,0))&amp;"")</f>
        <v/>
      </c>
      <c r="B458" s="25" t="str">
        <f aca="false">IF($H458="","",INDEX(Register!$B$11:$B$510,MATCH($H458,Register!$J$11:$J$510,0))&amp;"")</f>
        <v/>
      </c>
      <c r="C458" s="25" t="str">
        <f aca="false">IF($H458="","",INDEX(Register!$C$11:$C$510,MATCH($H458,Register!$J$11:$J$510,0))&amp;"")</f>
        <v/>
      </c>
      <c r="D458" s="26" t="str">
        <f aca="false">IF($H458="","",IF(ISNUMBER(INDEX(Register!$D$11:$D$510,MATCH($H458,Register!$J$11:$J$510,0))),INDEX(Register!$D$11:$D$510,MATCH($H458,Register!$J$11:$J$510,0)),INDEX(Register!$D$11:$D$510,MATCH($H458,Register!$J$11:$J$510,0))&amp;""))</f>
        <v/>
      </c>
      <c r="E458" s="25" t="str">
        <f aca="false">IF($H458="","",IF(ISNUMBER(INDEX(Register!$E$11:$E$510,MATCH($H458,Register!$J$11:$J$510,0))),INDEX(Register!$E$11:$E$510,MATCH($H458,Register!$J$11:$J$510,0))&amp;" mo",INDEX(Register!$E$11:$E$510,MATCH($H458,Register!$J$11:$J$510,0))&amp;""))</f>
        <v/>
      </c>
      <c r="F458" s="26" t="str">
        <f aca="false">IF($H458="","",INDEX(Register!$F$11:$F$510,MATCH($H458,Register!$J$11:$J$510,0)))</f>
        <v/>
      </c>
      <c r="G458" s="27" t="str">
        <f aca="false">IF($H458="","",IF(INDEX(Register!$G$11:$G$510,MATCH($H458,Register!$J$11:$J$510,0))="Check details","Check details: "&amp;INDEX(Register!$I$11:$I$510,MATCH($H458,Register!$J$11:$J$510,0)),INDEX(Register!$G$11:$G$510,MATCH($H458,Register!$J$11:$J$510,0))))</f>
        <v/>
      </c>
      <c r="H458" s="28" t="str">
        <f aca="false">IF(452&gt;COUNT(Register!$J$11:$J$510),"",SMALL(Register!$J$11:$J$510,452))</f>
        <v/>
      </c>
    </row>
    <row r="459" customFormat="false" ht="15" hidden="false" customHeight="false" outlineLevel="0" collapsed="false">
      <c r="A459" s="25" t="str">
        <f aca="false">IF($H459="","",INDEX(Register!$A$11:$A$510,MATCH($H459,Register!$J$11:$J$510,0))&amp;"")</f>
        <v/>
      </c>
      <c r="B459" s="25" t="str">
        <f aca="false">IF($H459="","",INDEX(Register!$B$11:$B$510,MATCH($H459,Register!$J$11:$J$510,0))&amp;"")</f>
        <v/>
      </c>
      <c r="C459" s="25" t="str">
        <f aca="false">IF($H459="","",INDEX(Register!$C$11:$C$510,MATCH($H459,Register!$J$11:$J$510,0))&amp;"")</f>
        <v/>
      </c>
      <c r="D459" s="26" t="str">
        <f aca="false">IF($H459="","",IF(ISNUMBER(INDEX(Register!$D$11:$D$510,MATCH($H459,Register!$J$11:$J$510,0))),INDEX(Register!$D$11:$D$510,MATCH($H459,Register!$J$11:$J$510,0)),INDEX(Register!$D$11:$D$510,MATCH($H459,Register!$J$11:$J$510,0))&amp;""))</f>
        <v/>
      </c>
      <c r="E459" s="25" t="str">
        <f aca="false">IF($H459="","",IF(ISNUMBER(INDEX(Register!$E$11:$E$510,MATCH($H459,Register!$J$11:$J$510,0))),INDEX(Register!$E$11:$E$510,MATCH($H459,Register!$J$11:$J$510,0))&amp;" mo",INDEX(Register!$E$11:$E$510,MATCH($H459,Register!$J$11:$J$510,0))&amp;""))</f>
        <v/>
      </c>
      <c r="F459" s="26" t="str">
        <f aca="false">IF($H459="","",INDEX(Register!$F$11:$F$510,MATCH($H459,Register!$J$11:$J$510,0)))</f>
        <v/>
      </c>
      <c r="G459" s="27" t="str">
        <f aca="false">IF($H459="","",IF(INDEX(Register!$G$11:$G$510,MATCH($H459,Register!$J$11:$J$510,0))="Check details","Check details: "&amp;INDEX(Register!$I$11:$I$510,MATCH($H459,Register!$J$11:$J$510,0)),INDEX(Register!$G$11:$G$510,MATCH($H459,Register!$J$11:$J$510,0))))</f>
        <v/>
      </c>
      <c r="H459" s="28" t="str">
        <f aca="false">IF(453&gt;COUNT(Register!$J$11:$J$510),"",SMALL(Register!$J$11:$J$510,453))</f>
        <v/>
      </c>
    </row>
    <row r="460" customFormat="false" ht="15" hidden="false" customHeight="false" outlineLevel="0" collapsed="false">
      <c r="A460" s="25" t="str">
        <f aca="false">IF($H460="","",INDEX(Register!$A$11:$A$510,MATCH($H460,Register!$J$11:$J$510,0))&amp;"")</f>
        <v/>
      </c>
      <c r="B460" s="25" t="str">
        <f aca="false">IF($H460="","",INDEX(Register!$B$11:$B$510,MATCH($H460,Register!$J$11:$J$510,0))&amp;"")</f>
        <v/>
      </c>
      <c r="C460" s="25" t="str">
        <f aca="false">IF($H460="","",INDEX(Register!$C$11:$C$510,MATCH($H460,Register!$J$11:$J$510,0))&amp;"")</f>
        <v/>
      </c>
      <c r="D460" s="26" t="str">
        <f aca="false">IF($H460="","",IF(ISNUMBER(INDEX(Register!$D$11:$D$510,MATCH($H460,Register!$J$11:$J$510,0))),INDEX(Register!$D$11:$D$510,MATCH($H460,Register!$J$11:$J$510,0)),INDEX(Register!$D$11:$D$510,MATCH($H460,Register!$J$11:$J$510,0))&amp;""))</f>
        <v/>
      </c>
      <c r="E460" s="25" t="str">
        <f aca="false">IF($H460="","",IF(ISNUMBER(INDEX(Register!$E$11:$E$510,MATCH($H460,Register!$J$11:$J$510,0))),INDEX(Register!$E$11:$E$510,MATCH($H460,Register!$J$11:$J$510,0))&amp;" mo",INDEX(Register!$E$11:$E$510,MATCH($H460,Register!$J$11:$J$510,0))&amp;""))</f>
        <v/>
      </c>
      <c r="F460" s="26" t="str">
        <f aca="false">IF($H460="","",INDEX(Register!$F$11:$F$510,MATCH($H460,Register!$J$11:$J$510,0)))</f>
        <v/>
      </c>
      <c r="G460" s="27" t="str">
        <f aca="false">IF($H460="","",IF(INDEX(Register!$G$11:$G$510,MATCH($H460,Register!$J$11:$J$510,0))="Check details","Check details: "&amp;INDEX(Register!$I$11:$I$510,MATCH($H460,Register!$J$11:$J$510,0)),INDEX(Register!$G$11:$G$510,MATCH($H460,Register!$J$11:$J$510,0))))</f>
        <v/>
      </c>
      <c r="H460" s="28" t="str">
        <f aca="false">IF(454&gt;COUNT(Register!$J$11:$J$510),"",SMALL(Register!$J$11:$J$510,454))</f>
        <v/>
      </c>
    </row>
    <row r="461" customFormat="false" ht="15" hidden="false" customHeight="false" outlineLevel="0" collapsed="false">
      <c r="A461" s="25" t="str">
        <f aca="false">IF($H461="","",INDEX(Register!$A$11:$A$510,MATCH($H461,Register!$J$11:$J$510,0))&amp;"")</f>
        <v/>
      </c>
      <c r="B461" s="25" t="str">
        <f aca="false">IF($H461="","",INDEX(Register!$B$11:$B$510,MATCH($H461,Register!$J$11:$J$510,0))&amp;"")</f>
        <v/>
      </c>
      <c r="C461" s="25" t="str">
        <f aca="false">IF($H461="","",INDEX(Register!$C$11:$C$510,MATCH($H461,Register!$J$11:$J$510,0))&amp;"")</f>
        <v/>
      </c>
      <c r="D461" s="26" t="str">
        <f aca="false">IF($H461="","",IF(ISNUMBER(INDEX(Register!$D$11:$D$510,MATCH($H461,Register!$J$11:$J$510,0))),INDEX(Register!$D$11:$D$510,MATCH($H461,Register!$J$11:$J$510,0)),INDEX(Register!$D$11:$D$510,MATCH($H461,Register!$J$11:$J$510,0))&amp;""))</f>
        <v/>
      </c>
      <c r="E461" s="25" t="str">
        <f aca="false">IF($H461="","",IF(ISNUMBER(INDEX(Register!$E$11:$E$510,MATCH($H461,Register!$J$11:$J$510,0))),INDEX(Register!$E$11:$E$510,MATCH($H461,Register!$J$11:$J$510,0))&amp;" mo",INDEX(Register!$E$11:$E$510,MATCH($H461,Register!$J$11:$J$510,0))&amp;""))</f>
        <v/>
      </c>
      <c r="F461" s="26" t="str">
        <f aca="false">IF($H461="","",INDEX(Register!$F$11:$F$510,MATCH($H461,Register!$J$11:$J$510,0)))</f>
        <v/>
      </c>
      <c r="G461" s="27" t="str">
        <f aca="false">IF($H461="","",IF(INDEX(Register!$G$11:$G$510,MATCH($H461,Register!$J$11:$J$510,0))="Check details","Check details: "&amp;INDEX(Register!$I$11:$I$510,MATCH($H461,Register!$J$11:$J$510,0)),INDEX(Register!$G$11:$G$510,MATCH($H461,Register!$J$11:$J$510,0))))</f>
        <v/>
      </c>
      <c r="H461" s="28" t="str">
        <f aca="false">IF(455&gt;COUNT(Register!$J$11:$J$510),"",SMALL(Register!$J$11:$J$510,455))</f>
        <v/>
      </c>
    </row>
    <row r="462" customFormat="false" ht="15" hidden="false" customHeight="false" outlineLevel="0" collapsed="false">
      <c r="A462" s="25" t="str">
        <f aca="false">IF($H462="","",INDEX(Register!$A$11:$A$510,MATCH($H462,Register!$J$11:$J$510,0))&amp;"")</f>
        <v/>
      </c>
      <c r="B462" s="25" t="str">
        <f aca="false">IF($H462="","",INDEX(Register!$B$11:$B$510,MATCH($H462,Register!$J$11:$J$510,0))&amp;"")</f>
        <v/>
      </c>
      <c r="C462" s="25" t="str">
        <f aca="false">IF($H462="","",INDEX(Register!$C$11:$C$510,MATCH($H462,Register!$J$11:$J$510,0))&amp;"")</f>
        <v/>
      </c>
      <c r="D462" s="26" t="str">
        <f aca="false">IF($H462="","",IF(ISNUMBER(INDEX(Register!$D$11:$D$510,MATCH($H462,Register!$J$11:$J$510,0))),INDEX(Register!$D$11:$D$510,MATCH($H462,Register!$J$11:$J$510,0)),INDEX(Register!$D$11:$D$510,MATCH($H462,Register!$J$11:$J$510,0))&amp;""))</f>
        <v/>
      </c>
      <c r="E462" s="25" t="str">
        <f aca="false">IF($H462="","",IF(ISNUMBER(INDEX(Register!$E$11:$E$510,MATCH($H462,Register!$J$11:$J$510,0))),INDEX(Register!$E$11:$E$510,MATCH($H462,Register!$J$11:$J$510,0))&amp;" mo",INDEX(Register!$E$11:$E$510,MATCH($H462,Register!$J$11:$J$510,0))&amp;""))</f>
        <v/>
      </c>
      <c r="F462" s="26" t="str">
        <f aca="false">IF($H462="","",INDEX(Register!$F$11:$F$510,MATCH($H462,Register!$J$11:$J$510,0)))</f>
        <v/>
      </c>
      <c r="G462" s="27" t="str">
        <f aca="false">IF($H462="","",IF(INDEX(Register!$G$11:$G$510,MATCH($H462,Register!$J$11:$J$510,0))="Check details","Check details: "&amp;INDEX(Register!$I$11:$I$510,MATCH($H462,Register!$J$11:$J$510,0)),INDEX(Register!$G$11:$G$510,MATCH($H462,Register!$J$11:$J$510,0))))</f>
        <v/>
      </c>
      <c r="H462" s="28" t="str">
        <f aca="false">IF(456&gt;COUNT(Register!$J$11:$J$510),"",SMALL(Register!$J$11:$J$510,456))</f>
        <v/>
      </c>
    </row>
    <row r="463" customFormat="false" ht="15" hidden="false" customHeight="false" outlineLevel="0" collapsed="false">
      <c r="A463" s="25" t="str">
        <f aca="false">IF($H463="","",INDEX(Register!$A$11:$A$510,MATCH($H463,Register!$J$11:$J$510,0))&amp;"")</f>
        <v/>
      </c>
      <c r="B463" s="25" t="str">
        <f aca="false">IF($H463="","",INDEX(Register!$B$11:$B$510,MATCH($H463,Register!$J$11:$J$510,0))&amp;"")</f>
        <v/>
      </c>
      <c r="C463" s="25" t="str">
        <f aca="false">IF($H463="","",INDEX(Register!$C$11:$C$510,MATCH($H463,Register!$J$11:$J$510,0))&amp;"")</f>
        <v/>
      </c>
      <c r="D463" s="26" t="str">
        <f aca="false">IF($H463="","",IF(ISNUMBER(INDEX(Register!$D$11:$D$510,MATCH($H463,Register!$J$11:$J$510,0))),INDEX(Register!$D$11:$D$510,MATCH($H463,Register!$J$11:$J$510,0)),INDEX(Register!$D$11:$D$510,MATCH($H463,Register!$J$11:$J$510,0))&amp;""))</f>
        <v/>
      </c>
      <c r="E463" s="25" t="str">
        <f aca="false">IF($H463="","",IF(ISNUMBER(INDEX(Register!$E$11:$E$510,MATCH($H463,Register!$J$11:$J$510,0))),INDEX(Register!$E$11:$E$510,MATCH($H463,Register!$J$11:$J$510,0))&amp;" mo",INDEX(Register!$E$11:$E$510,MATCH($H463,Register!$J$11:$J$510,0))&amp;""))</f>
        <v/>
      </c>
      <c r="F463" s="26" t="str">
        <f aca="false">IF($H463="","",INDEX(Register!$F$11:$F$510,MATCH($H463,Register!$J$11:$J$510,0)))</f>
        <v/>
      </c>
      <c r="G463" s="27" t="str">
        <f aca="false">IF($H463="","",IF(INDEX(Register!$G$11:$G$510,MATCH($H463,Register!$J$11:$J$510,0))="Check details","Check details: "&amp;INDEX(Register!$I$11:$I$510,MATCH($H463,Register!$J$11:$J$510,0)),INDEX(Register!$G$11:$G$510,MATCH($H463,Register!$J$11:$J$510,0))))</f>
        <v/>
      </c>
      <c r="H463" s="28" t="str">
        <f aca="false">IF(457&gt;COUNT(Register!$J$11:$J$510),"",SMALL(Register!$J$11:$J$510,457))</f>
        <v/>
      </c>
    </row>
    <row r="464" customFormat="false" ht="15" hidden="false" customHeight="false" outlineLevel="0" collapsed="false">
      <c r="A464" s="25" t="str">
        <f aca="false">IF($H464="","",INDEX(Register!$A$11:$A$510,MATCH($H464,Register!$J$11:$J$510,0))&amp;"")</f>
        <v/>
      </c>
      <c r="B464" s="25" t="str">
        <f aca="false">IF($H464="","",INDEX(Register!$B$11:$B$510,MATCH($H464,Register!$J$11:$J$510,0))&amp;"")</f>
        <v/>
      </c>
      <c r="C464" s="25" t="str">
        <f aca="false">IF($H464="","",INDEX(Register!$C$11:$C$510,MATCH($H464,Register!$J$11:$J$510,0))&amp;"")</f>
        <v/>
      </c>
      <c r="D464" s="26" t="str">
        <f aca="false">IF($H464="","",IF(ISNUMBER(INDEX(Register!$D$11:$D$510,MATCH($H464,Register!$J$11:$J$510,0))),INDEX(Register!$D$11:$D$510,MATCH($H464,Register!$J$11:$J$510,0)),INDEX(Register!$D$11:$D$510,MATCH($H464,Register!$J$11:$J$510,0))&amp;""))</f>
        <v/>
      </c>
      <c r="E464" s="25" t="str">
        <f aca="false">IF($H464="","",IF(ISNUMBER(INDEX(Register!$E$11:$E$510,MATCH($H464,Register!$J$11:$J$510,0))),INDEX(Register!$E$11:$E$510,MATCH($H464,Register!$J$11:$J$510,0))&amp;" mo",INDEX(Register!$E$11:$E$510,MATCH($H464,Register!$J$11:$J$510,0))&amp;""))</f>
        <v/>
      </c>
      <c r="F464" s="26" t="str">
        <f aca="false">IF($H464="","",INDEX(Register!$F$11:$F$510,MATCH($H464,Register!$J$11:$J$510,0)))</f>
        <v/>
      </c>
      <c r="G464" s="27" t="str">
        <f aca="false">IF($H464="","",IF(INDEX(Register!$G$11:$G$510,MATCH($H464,Register!$J$11:$J$510,0))="Check details","Check details: "&amp;INDEX(Register!$I$11:$I$510,MATCH($H464,Register!$J$11:$J$510,0)),INDEX(Register!$G$11:$G$510,MATCH($H464,Register!$J$11:$J$510,0))))</f>
        <v/>
      </c>
      <c r="H464" s="28" t="str">
        <f aca="false">IF(458&gt;COUNT(Register!$J$11:$J$510),"",SMALL(Register!$J$11:$J$510,458))</f>
        <v/>
      </c>
    </row>
    <row r="465" customFormat="false" ht="15" hidden="false" customHeight="false" outlineLevel="0" collapsed="false">
      <c r="A465" s="25" t="str">
        <f aca="false">IF($H465="","",INDEX(Register!$A$11:$A$510,MATCH($H465,Register!$J$11:$J$510,0))&amp;"")</f>
        <v/>
      </c>
      <c r="B465" s="25" t="str">
        <f aca="false">IF($H465="","",INDEX(Register!$B$11:$B$510,MATCH($H465,Register!$J$11:$J$510,0))&amp;"")</f>
        <v/>
      </c>
      <c r="C465" s="25" t="str">
        <f aca="false">IF($H465="","",INDEX(Register!$C$11:$C$510,MATCH($H465,Register!$J$11:$J$510,0))&amp;"")</f>
        <v/>
      </c>
      <c r="D465" s="26" t="str">
        <f aca="false">IF($H465="","",IF(ISNUMBER(INDEX(Register!$D$11:$D$510,MATCH($H465,Register!$J$11:$J$510,0))),INDEX(Register!$D$11:$D$510,MATCH($H465,Register!$J$11:$J$510,0)),INDEX(Register!$D$11:$D$510,MATCH($H465,Register!$J$11:$J$510,0))&amp;""))</f>
        <v/>
      </c>
      <c r="E465" s="25" t="str">
        <f aca="false">IF($H465="","",IF(ISNUMBER(INDEX(Register!$E$11:$E$510,MATCH($H465,Register!$J$11:$J$510,0))),INDEX(Register!$E$11:$E$510,MATCH($H465,Register!$J$11:$J$510,0))&amp;" mo",INDEX(Register!$E$11:$E$510,MATCH($H465,Register!$J$11:$J$510,0))&amp;""))</f>
        <v/>
      </c>
      <c r="F465" s="26" t="str">
        <f aca="false">IF($H465="","",INDEX(Register!$F$11:$F$510,MATCH($H465,Register!$J$11:$J$510,0)))</f>
        <v/>
      </c>
      <c r="G465" s="27" t="str">
        <f aca="false">IF($H465="","",IF(INDEX(Register!$G$11:$G$510,MATCH($H465,Register!$J$11:$J$510,0))="Check details","Check details: "&amp;INDEX(Register!$I$11:$I$510,MATCH($H465,Register!$J$11:$J$510,0)),INDEX(Register!$G$11:$G$510,MATCH($H465,Register!$J$11:$J$510,0))))</f>
        <v/>
      </c>
      <c r="H465" s="28" t="str">
        <f aca="false">IF(459&gt;COUNT(Register!$J$11:$J$510),"",SMALL(Register!$J$11:$J$510,459))</f>
        <v/>
      </c>
    </row>
    <row r="466" customFormat="false" ht="15" hidden="false" customHeight="false" outlineLevel="0" collapsed="false">
      <c r="A466" s="25" t="str">
        <f aca="false">IF($H466="","",INDEX(Register!$A$11:$A$510,MATCH($H466,Register!$J$11:$J$510,0))&amp;"")</f>
        <v/>
      </c>
      <c r="B466" s="25" t="str">
        <f aca="false">IF($H466="","",INDEX(Register!$B$11:$B$510,MATCH($H466,Register!$J$11:$J$510,0))&amp;"")</f>
        <v/>
      </c>
      <c r="C466" s="25" t="str">
        <f aca="false">IF($H466="","",INDEX(Register!$C$11:$C$510,MATCH($H466,Register!$J$11:$J$510,0))&amp;"")</f>
        <v/>
      </c>
      <c r="D466" s="26" t="str">
        <f aca="false">IF($H466="","",IF(ISNUMBER(INDEX(Register!$D$11:$D$510,MATCH($H466,Register!$J$11:$J$510,0))),INDEX(Register!$D$11:$D$510,MATCH($H466,Register!$J$11:$J$510,0)),INDEX(Register!$D$11:$D$510,MATCH($H466,Register!$J$11:$J$510,0))&amp;""))</f>
        <v/>
      </c>
      <c r="E466" s="25" t="str">
        <f aca="false">IF($H466="","",IF(ISNUMBER(INDEX(Register!$E$11:$E$510,MATCH($H466,Register!$J$11:$J$510,0))),INDEX(Register!$E$11:$E$510,MATCH($H466,Register!$J$11:$J$510,0))&amp;" mo",INDEX(Register!$E$11:$E$510,MATCH($H466,Register!$J$11:$J$510,0))&amp;""))</f>
        <v/>
      </c>
      <c r="F466" s="26" t="str">
        <f aca="false">IF($H466="","",INDEX(Register!$F$11:$F$510,MATCH($H466,Register!$J$11:$J$510,0)))</f>
        <v/>
      </c>
      <c r="G466" s="27" t="str">
        <f aca="false">IF($H466="","",IF(INDEX(Register!$G$11:$G$510,MATCH($H466,Register!$J$11:$J$510,0))="Check details","Check details: "&amp;INDEX(Register!$I$11:$I$510,MATCH($H466,Register!$J$11:$J$510,0)),INDEX(Register!$G$11:$G$510,MATCH($H466,Register!$J$11:$J$510,0))))</f>
        <v/>
      </c>
      <c r="H466" s="28" t="str">
        <f aca="false">IF(460&gt;COUNT(Register!$J$11:$J$510),"",SMALL(Register!$J$11:$J$510,460))</f>
        <v/>
      </c>
    </row>
    <row r="467" customFormat="false" ht="15" hidden="false" customHeight="false" outlineLevel="0" collapsed="false">
      <c r="A467" s="25" t="str">
        <f aca="false">IF($H467="","",INDEX(Register!$A$11:$A$510,MATCH($H467,Register!$J$11:$J$510,0))&amp;"")</f>
        <v/>
      </c>
      <c r="B467" s="25" t="str">
        <f aca="false">IF($H467="","",INDEX(Register!$B$11:$B$510,MATCH($H467,Register!$J$11:$J$510,0))&amp;"")</f>
        <v/>
      </c>
      <c r="C467" s="25" t="str">
        <f aca="false">IF($H467="","",INDEX(Register!$C$11:$C$510,MATCH($H467,Register!$J$11:$J$510,0))&amp;"")</f>
        <v/>
      </c>
      <c r="D467" s="26" t="str">
        <f aca="false">IF($H467="","",IF(ISNUMBER(INDEX(Register!$D$11:$D$510,MATCH($H467,Register!$J$11:$J$510,0))),INDEX(Register!$D$11:$D$510,MATCH($H467,Register!$J$11:$J$510,0)),INDEX(Register!$D$11:$D$510,MATCH($H467,Register!$J$11:$J$510,0))&amp;""))</f>
        <v/>
      </c>
      <c r="E467" s="25" t="str">
        <f aca="false">IF($H467="","",IF(ISNUMBER(INDEX(Register!$E$11:$E$510,MATCH($H467,Register!$J$11:$J$510,0))),INDEX(Register!$E$11:$E$510,MATCH($H467,Register!$J$11:$J$510,0))&amp;" mo",INDEX(Register!$E$11:$E$510,MATCH($H467,Register!$J$11:$J$510,0))&amp;""))</f>
        <v/>
      </c>
      <c r="F467" s="26" t="str">
        <f aca="false">IF($H467="","",INDEX(Register!$F$11:$F$510,MATCH($H467,Register!$J$11:$J$510,0)))</f>
        <v/>
      </c>
      <c r="G467" s="27" t="str">
        <f aca="false">IF($H467="","",IF(INDEX(Register!$G$11:$G$510,MATCH($H467,Register!$J$11:$J$510,0))="Check details","Check details: "&amp;INDEX(Register!$I$11:$I$510,MATCH($H467,Register!$J$11:$J$510,0)),INDEX(Register!$G$11:$G$510,MATCH($H467,Register!$J$11:$J$510,0))))</f>
        <v/>
      </c>
      <c r="H467" s="28" t="str">
        <f aca="false">IF(461&gt;COUNT(Register!$J$11:$J$510),"",SMALL(Register!$J$11:$J$510,461))</f>
        <v/>
      </c>
    </row>
    <row r="468" customFormat="false" ht="15" hidden="false" customHeight="false" outlineLevel="0" collapsed="false">
      <c r="A468" s="25" t="str">
        <f aca="false">IF($H468="","",INDEX(Register!$A$11:$A$510,MATCH($H468,Register!$J$11:$J$510,0))&amp;"")</f>
        <v/>
      </c>
      <c r="B468" s="25" t="str">
        <f aca="false">IF($H468="","",INDEX(Register!$B$11:$B$510,MATCH($H468,Register!$J$11:$J$510,0))&amp;"")</f>
        <v/>
      </c>
      <c r="C468" s="25" t="str">
        <f aca="false">IF($H468="","",INDEX(Register!$C$11:$C$510,MATCH($H468,Register!$J$11:$J$510,0))&amp;"")</f>
        <v/>
      </c>
      <c r="D468" s="26" t="str">
        <f aca="false">IF($H468="","",IF(ISNUMBER(INDEX(Register!$D$11:$D$510,MATCH($H468,Register!$J$11:$J$510,0))),INDEX(Register!$D$11:$D$510,MATCH($H468,Register!$J$11:$J$510,0)),INDEX(Register!$D$11:$D$510,MATCH($H468,Register!$J$11:$J$510,0))&amp;""))</f>
        <v/>
      </c>
      <c r="E468" s="25" t="str">
        <f aca="false">IF($H468="","",IF(ISNUMBER(INDEX(Register!$E$11:$E$510,MATCH($H468,Register!$J$11:$J$510,0))),INDEX(Register!$E$11:$E$510,MATCH($H468,Register!$J$11:$J$510,0))&amp;" mo",INDEX(Register!$E$11:$E$510,MATCH($H468,Register!$J$11:$J$510,0))&amp;""))</f>
        <v/>
      </c>
      <c r="F468" s="26" t="str">
        <f aca="false">IF($H468="","",INDEX(Register!$F$11:$F$510,MATCH($H468,Register!$J$11:$J$510,0)))</f>
        <v/>
      </c>
      <c r="G468" s="27" t="str">
        <f aca="false">IF($H468="","",IF(INDEX(Register!$G$11:$G$510,MATCH($H468,Register!$J$11:$J$510,0))="Check details","Check details: "&amp;INDEX(Register!$I$11:$I$510,MATCH($H468,Register!$J$11:$J$510,0)),INDEX(Register!$G$11:$G$510,MATCH($H468,Register!$J$11:$J$510,0))))</f>
        <v/>
      </c>
      <c r="H468" s="28" t="str">
        <f aca="false">IF(462&gt;COUNT(Register!$J$11:$J$510),"",SMALL(Register!$J$11:$J$510,462))</f>
        <v/>
      </c>
    </row>
    <row r="469" customFormat="false" ht="15" hidden="false" customHeight="false" outlineLevel="0" collapsed="false">
      <c r="A469" s="25" t="str">
        <f aca="false">IF($H469="","",INDEX(Register!$A$11:$A$510,MATCH($H469,Register!$J$11:$J$510,0))&amp;"")</f>
        <v/>
      </c>
      <c r="B469" s="25" t="str">
        <f aca="false">IF($H469="","",INDEX(Register!$B$11:$B$510,MATCH($H469,Register!$J$11:$J$510,0))&amp;"")</f>
        <v/>
      </c>
      <c r="C469" s="25" t="str">
        <f aca="false">IF($H469="","",INDEX(Register!$C$11:$C$510,MATCH($H469,Register!$J$11:$J$510,0))&amp;"")</f>
        <v/>
      </c>
      <c r="D469" s="26" t="str">
        <f aca="false">IF($H469="","",IF(ISNUMBER(INDEX(Register!$D$11:$D$510,MATCH($H469,Register!$J$11:$J$510,0))),INDEX(Register!$D$11:$D$510,MATCH($H469,Register!$J$11:$J$510,0)),INDEX(Register!$D$11:$D$510,MATCH($H469,Register!$J$11:$J$510,0))&amp;""))</f>
        <v/>
      </c>
      <c r="E469" s="25" t="str">
        <f aca="false">IF($H469="","",IF(ISNUMBER(INDEX(Register!$E$11:$E$510,MATCH($H469,Register!$J$11:$J$510,0))),INDEX(Register!$E$11:$E$510,MATCH($H469,Register!$J$11:$J$510,0))&amp;" mo",INDEX(Register!$E$11:$E$510,MATCH($H469,Register!$J$11:$J$510,0))&amp;""))</f>
        <v/>
      </c>
      <c r="F469" s="26" t="str">
        <f aca="false">IF($H469="","",INDEX(Register!$F$11:$F$510,MATCH($H469,Register!$J$11:$J$510,0)))</f>
        <v/>
      </c>
      <c r="G469" s="27" t="str">
        <f aca="false">IF($H469="","",IF(INDEX(Register!$G$11:$G$510,MATCH($H469,Register!$J$11:$J$510,0))="Check details","Check details: "&amp;INDEX(Register!$I$11:$I$510,MATCH($H469,Register!$J$11:$J$510,0)),INDEX(Register!$G$11:$G$510,MATCH($H469,Register!$J$11:$J$510,0))))</f>
        <v/>
      </c>
      <c r="H469" s="28" t="str">
        <f aca="false">IF(463&gt;COUNT(Register!$J$11:$J$510),"",SMALL(Register!$J$11:$J$510,463))</f>
        <v/>
      </c>
    </row>
    <row r="470" customFormat="false" ht="15" hidden="false" customHeight="false" outlineLevel="0" collapsed="false">
      <c r="A470" s="25" t="str">
        <f aca="false">IF($H470="","",INDEX(Register!$A$11:$A$510,MATCH($H470,Register!$J$11:$J$510,0))&amp;"")</f>
        <v/>
      </c>
      <c r="B470" s="25" t="str">
        <f aca="false">IF($H470="","",INDEX(Register!$B$11:$B$510,MATCH($H470,Register!$J$11:$J$510,0))&amp;"")</f>
        <v/>
      </c>
      <c r="C470" s="25" t="str">
        <f aca="false">IF($H470="","",INDEX(Register!$C$11:$C$510,MATCH($H470,Register!$J$11:$J$510,0))&amp;"")</f>
        <v/>
      </c>
      <c r="D470" s="26" t="str">
        <f aca="false">IF($H470="","",IF(ISNUMBER(INDEX(Register!$D$11:$D$510,MATCH($H470,Register!$J$11:$J$510,0))),INDEX(Register!$D$11:$D$510,MATCH($H470,Register!$J$11:$J$510,0)),INDEX(Register!$D$11:$D$510,MATCH($H470,Register!$J$11:$J$510,0))&amp;""))</f>
        <v/>
      </c>
      <c r="E470" s="25" t="str">
        <f aca="false">IF($H470="","",IF(ISNUMBER(INDEX(Register!$E$11:$E$510,MATCH($H470,Register!$J$11:$J$510,0))),INDEX(Register!$E$11:$E$510,MATCH($H470,Register!$J$11:$J$510,0))&amp;" mo",INDEX(Register!$E$11:$E$510,MATCH($H470,Register!$J$11:$J$510,0))&amp;""))</f>
        <v/>
      </c>
      <c r="F470" s="26" t="str">
        <f aca="false">IF($H470="","",INDEX(Register!$F$11:$F$510,MATCH($H470,Register!$J$11:$J$510,0)))</f>
        <v/>
      </c>
      <c r="G470" s="27" t="str">
        <f aca="false">IF($H470="","",IF(INDEX(Register!$G$11:$G$510,MATCH($H470,Register!$J$11:$J$510,0))="Check details","Check details: "&amp;INDEX(Register!$I$11:$I$510,MATCH($H470,Register!$J$11:$J$510,0)),INDEX(Register!$G$11:$G$510,MATCH($H470,Register!$J$11:$J$510,0))))</f>
        <v/>
      </c>
      <c r="H470" s="28" t="str">
        <f aca="false">IF(464&gt;COUNT(Register!$J$11:$J$510),"",SMALL(Register!$J$11:$J$510,464))</f>
        <v/>
      </c>
    </row>
    <row r="471" customFormat="false" ht="15" hidden="false" customHeight="false" outlineLevel="0" collapsed="false">
      <c r="A471" s="25" t="str">
        <f aca="false">IF($H471="","",INDEX(Register!$A$11:$A$510,MATCH($H471,Register!$J$11:$J$510,0))&amp;"")</f>
        <v/>
      </c>
      <c r="B471" s="25" t="str">
        <f aca="false">IF($H471="","",INDEX(Register!$B$11:$B$510,MATCH($H471,Register!$J$11:$J$510,0))&amp;"")</f>
        <v/>
      </c>
      <c r="C471" s="25" t="str">
        <f aca="false">IF($H471="","",INDEX(Register!$C$11:$C$510,MATCH($H471,Register!$J$11:$J$510,0))&amp;"")</f>
        <v/>
      </c>
      <c r="D471" s="26" t="str">
        <f aca="false">IF($H471="","",IF(ISNUMBER(INDEX(Register!$D$11:$D$510,MATCH($H471,Register!$J$11:$J$510,0))),INDEX(Register!$D$11:$D$510,MATCH($H471,Register!$J$11:$J$510,0)),INDEX(Register!$D$11:$D$510,MATCH($H471,Register!$J$11:$J$510,0))&amp;""))</f>
        <v/>
      </c>
      <c r="E471" s="25" t="str">
        <f aca="false">IF($H471="","",IF(ISNUMBER(INDEX(Register!$E$11:$E$510,MATCH($H471,Register!$J$11:$J$510,0))),INDEX(Register!$E$11:$E$510,MATCH($H471,Register!$J$11:$J$510,0))&amp;" mo",INDEX(Register!$E$11:$E$510,MATCH($H471,Register!$J$11:$J$510,0))&amp;""))</f>
        <v/>
      </c>
      <c r="F471" s="26" t="str">
        <f aca="false">IF($H471="","",INDEX(Register!$F$11:$F$510,MATCH($H471,Register!$J$11:$J$510,0)))</f>
        <v/>
      </c>
      <c r="G471" s="27" t="str">
        <f aca="false">IF($H471="","",IF(INDEX(Register!$G$11:$G$510,MATCH($H471,Register!$J$11:$J$510,0))="Check details","Check details: "&amp;INDEX(Register!$I$11:$I$510,MATCH($H471,Register!$J$11:$J$510,0)),INDEX(Register!$G$11:$G$510,MATCH($H471,Register!$J$11:$J$510,0))))</f>
        <v/>
      </c>
      <c r="H471" s="28" t="str">
        <f aca="false">IF(465&gt;COUNT(Register!$J$11:$J$510),"",SMALL(Register!$J$11:$J$510,465))</f>
        <v/>
      </c>
    </row>
    <row r="472" customFormat="false" ht="15" hidden="false" customHeight="false" outlineLevel="0" collapsed="false">
      <c r="A472" s="25" t="str">
        <f aca="false">IF($H472="","",INDEX(Register!$A$11:$A$510,MATCH($H472,Register!$J$11:$J$510,0))&amp;"")</f>
        <v/>
      </c>
      <c r="B472" s="25" t="str">
        <f aca="false">IF($H472="","",INDEX(Register!$B$11:$B$510,MATCH($H472,Register!$J$11:$J$510,0))&amp;"")</f>
        <v/>
      </c>
      <c r="C472" s="25" t="str">
        <f aca="false">IF($H472="","",INDEX(Register!$C$11:$C$510,MATCH($H472,Register!$J$11:$J$510,0))&amp;"")</f>
        <v/>
      </c>
      <c r="D472" s="26" t="str">
        <f aca="false">IF($H472="","",IF(ISNUMBER(INDEX(Register!$D$11:$D$510,MATCH($H472,Register!$J$11:$J$510,0))),INDEX(Register!$D$11:$D$510,MATCH($H472,Register!$J$11:$J$510,0)),INDEX(Register!$D$11:$D$510,MATCH($H472,Register!$J$11:$J$510,0))&amp;""))</f>
        <v/>
      </c>
      <c r="E472" s="25" t="str">
        <f aca="false">IF($H472="","",IF(ISNUMBER(INDEX(Register!$E$11:$E$510,MATCH($H472,Register!$J$11:$J$510,0))),INDEX(Register!$E$11:$E$510,MATCH($H472,Register!$J$11:$J$510,0))&amp;" mo",INDEX(Register!$E$11:$E$510,MATCH($H472,Register!$J$11:$J$510,0))&amp;""))</f>
        <v/>
      </c>
      <c r="F472" s="26" t="str">
        <f aca="false">IF($H472="","",INDEX(Register!$F$11:$F$510,MATCH($H472,Register!$J$11:$J$510,0)))</f>
        <v/>
      </c>
      <c r="G472" s="27" t="str">
        <f aca="false">IF($H472="","",IF(INDEX(Register!$G$11:$G$510,MATCH($H472,Register!$J$11:$J$510,0))="Check details","Check details: "&amp;INDEX(Register!$I$11:$I$510,MATCH($H472,Register!$J$11:$J$510,0)),INDEX(Register!$G$11:$G$510,MATCH($H472,Register!$J$11:$J$510,0))))</f>
        <v/>
      </c>
      <c r="H472" s="28" t="str">
        <f aca="false">IF(466&gt;COUNT(Register!$J$11:$J$510),"",SMALL(Register!$J$11:$J$510,466))</f>
        <v/>
      </c>
    </row>
    <row r="473" customFormat="false" ht="15" hidden="false" customHeight="false" outlineLevel="0" collapsed="false">
      <c r="A473" s="25" t="str">
        <f aca="false">IF($H473="","",INDEX(Register!$A$11:$A$510,MATCH($H473,Register!$J$11:$J$510,0))&amp;"")</f>
        <v/>
      </c>
      <c r="B473" s="25" t="str">
        <f aca="false">IF($H473="","",INDEX(Register!$B$11:$B$510,MATCH($H473,Register!$J$11:$J$510,0))&amp;"")</f>
        <v/>
      </c>
      <c r="C473" s="25" t="str">
        <f aca="false">IF($H473="","",INDEX(Register!$C$11:$C$510,MATCH($H473,Register!$J$11:$J$510,0))&amp;"")</f>
        <v/>
      </c>
      <c r="D473" s="26" t="str">
        <f aca="false">IF($H473="","",IF(ISNUMBER(INDEX(Register!$D$11:$D$510,MATCH($H473,Register!$J$11:$J$510,0))),INDEX(Register!$D$11:$D$510,MATCH($H473,Register!$J$11:$J$510,0)),INDEX(Register!$D$11:$D$510,MATCH($H473,Register!$J$11:$J$510,0))&amp;""))</f>
        <v/>
      </c>
      <c r="E473" s="25" t="str">
        <f aca="false">IF($H473="","",IF(ISNUMBER(INDEX(Register!$E$11:$E$510,MATCH($H473,Register!$J$11:$J$510,0))),INDEX(Register!$E$11:$E$510,MATCH($H473,Register!$J$11:$J$510,0))&amp;" mo",INDEX(Register!$E$11:$E$510,MATCH($H473,Register!$J$11:$J$510,0))&amp;""))</f>
        <v/>
      </c>
      <c r="F473" s="26" t="str">
        <f aca="false">IF($H473="","",INDEX(Register!$F$11:$F$510,MATCH($H473,Register!$J$11:$J$510,0)))</f>
        <v/>
      </c>
      <c r="G473" s="27" t="str">
        <f aca="false">IF($H473="","",IF(INDEX(Register!$G$11:$G$510,MATCH($H473,Register!$J$11:$J$510,0))="Check details","Check details: "&amp;INDEX(Register!$I$11:$I$510,MATCH($H473,Register!$J$11:$J$510,0)),INDEX(Register!$G$11:$G$510,MATCH($H473,Register!$J$11:$J$510,0))))</f>
        <v/>
      </c>
      <c r="H473" s="28" t="str">
        <f aca="false">IF(467&gt;COUNT(Register!$J$11:$J$510),"",SMALL(Register!$J$11:$J$510,467))</f>
        <v/>
      </c>
    </row>
    <row r="474" customFormat="false" ht="15" hidden="false" customHeight="false" outlineLevel="0" collapsed="false">
      <c r="A474" s="25" t="str">
        <f aca="false">IF($H474="","",INDEX(Register!$A$11:$A$510,MATCH($H474,Register!$J$11:$J$510,0))&amp;"")</f>
        <v/>
      </c>
      <c r="B474" s="25" t="str">
        <f aca="false">IF($H474="","",INDEX(Register!$B$11:$B$510,MATCH($H474,Register!$J$11:$J$510,0))&amp;"")</f>
        <v/>
      </c>
      <c r="C474" s="25" t="str">
        <f aca="false">IF($H474="","",INDEX(Register!$C$11:$C$510,MATCH($H474,Register!$J$11:$J$510,0))&amp;"")</f>
        <v/>
      </c>
      <c r="D474" s="26" t="str">
        <f aca="false">IF($H474="","",IF(ISNUMBER(INDEX(Register!$D$11:$D$510,MATCH($H474,Register!$J$11:$J$510,0))),INDEX(Register!$D$11:$D$510,MATCH($H474,Register!$J$11:$J$510,0)),INDEX(Register!$D$11:$D$510,MATCH($H474,Register!$J$11:$J$510,0))&amp;""))</f>
        <v/>
      </c>
      <c r="E474" s="25" t="str">
        <f aca="false">IF($H474="","",IF(ISNUMBER(INDEX(Register!$E$11:$E$510,MATCH($H474,Register!$J$11:$J$510,0))),INDEX(Register!$E$11:$E$510,MATCH($H474,Register!$J$11:$J$510,0))&amp;" mo",INDEX(Register!$E$11:$E$510,MATCH($H474,Register!$J$11:$J$510,0))&amp;""))</f>
        <v/>
      </c>
      <c r="F474" s="26" t="str">
        <f aca="false">IF($H474="","",INDEX(Register!$F$11:$F$510,MATCH($H474,Register!$J$11:$J$510,0)))</f>
        <v/>
      </c>
      <c r="G474" s="27" t="str">
        <f aca="false">IF($H474="","",IF(INDEX(Register!$G$11:$G$510,MATCH($H474,Register!$J$11:$J$510,0))="Check details","Check details: "&amp;INDEX(Register!$I$11:$I$510,MATCH($H474,Register!$J$11:$J$510,0)),INDEX(Register!$G$11:$G$510,MATCH($H474,Register!$J$11:$J$510,0))))</f>
        <v/>
      </c>
      <c r="H474" s="28" t="str">
        <f aca="false">IF(468&gt;COUNT(Register!$J$11:$J$510),"",SMALL(Register!$J$11:$J$510,468))</f>
        <v/>
      </c>
    </row>
    <row r="475" customFormat="false" ht="15" hidden="false" customHeight="false" outlineLevel="0" collapsed="false">
      <c r="A475" s="25" t="str">
        <f aca="false">IF($H475="","",INDEX(Register!$A$11:$A$510,MATCH($H475,Register!$J$11:$J$510,0))&amp;"")</f>
        <v/>
      </c>
      <c r="B475" s="25" t="str">
        <f aca="false">IF($H475="","",INDEX(Register!$B$11:$B$510,MATCH($H475,Register!$J$11:$J$510,0))&amp;"")</f>
        <v/>
      </c>
      <c r="C475" s="25" t="str">
        <f aca="false">IF($H475="","",INDEX(Register!$C$11:$C$510,MATCH($H475,Register!$J$11:$J$510,0))&amp;"")</f>
        <v/>
      </c>
      <c r="D475" s="26" t="str">
        <f aca="false">IF($H475="","",IF(ISNUMBER(INDEX(Register!$D$11:$D$510,MATCH($H475,Register!$J$11:$J$510,0))),INDEX(Register!$D$11:$D$510,MATCH($H475,Register!$J$11:$J$510,0)),INDEX(Register!$D$11:$D$510,MATCH($H475,Register!$J$11:$J$510,0))&amp;""))</f>
        <v/>
      </c>
      <c r="E475" s="25" t="str">
        <f aca="false">IF($H475="","",IF(ISNUMBER(INDEX(Register!$E$11:$E$510,MATCH($H475,Register!$J$11:$J$510,0))),INDEX(Register!$E$11:$E$510,MATCH($H475,Register!$J$11:$J$510,0))&amp;" mo",INDEX(Register!$E$11:$E$510,MATCH($H475,Register!$J$11:$J$510,0))&amp;""))</f>
        <v/>
      </c>
      <c r="F475" s="26" t="str">
        <f aca="false">IF($H475="","",INDEX(Register!$F$11:$F$510,MATCH($H475,Register!$J$11:$J$510,0)))</f>
        <v/>
      </c>
      <c r="G475" s="27" t="str">
        <f aca="false">IF($H475="","",IF(INDEX(Register!$G$11:$G$510,MATCH($H475,Register!$J$11:$J$510,0))="Check details","Check details: "&amp;INDEX(Register!$I$11:$I$510,MATCH($H475,Register!$J$11:$J$510,0)),INDEX(Register!$G$11:$G$510,MATCH($H475,Register!$J$11:$J$510,0))))</f>
        <v/>
      </c>
      <c r="H475" s="28" t="str">
        <f aca="false">IF(469&gt;COUNT(Register!$J$11:$J$510),"",SMALL(Register!$J$11:$J$510,469))</f>
        <v/>
      </c>
    </row>
    <row r="476" customFormat="false" ht="15" hidden="false" customHeight="false" outlineLevel="0" collapsed="false">
      <c r="A476" s="25" t="str">
        <f aca="false">IF($H476="","",INDEX(Register!$A$11:$A$510,MATCH($H476,Register!$J$11:$J$510,0))&amp;"")</f>
        <v/>
      </c>
      <c r="B476" s="25" t="str">
        <f aca="false">IF($H476="","",INDEX(Register!$B$11:$B$510,MATCH($H476,Register!$J$11:$J$510,0))&amp;"")</f>
        <v/>
      </c>
      <c r="C476" s="25" t="str">
        <f aca="false">IF($H476="","",INDEX(Register!$C$11:$C$510,MATCH($H476,Register!$J$11:$J$510,0))&amp;"")</f>
        <v/>
      </c>
      <c r="D476" s="26" t="str">
        <f aca="false">IF($H476="","",IF(ISNUMBER(INDEX(Register!$D$11:$D$510,MATCH($H476,Register!$J$11:$J$510,0))),INDEX(Register!$D$11:$D$510,MATCH($H476,Register!$J$11:$J$510,0)),INDEX(Register!$D$11:$D$510,MATCH($H476,Register!$J$11:$J$510,0))&amp;""))</f>
        <v/>
      </c>
      <c r="E476" s="25" t="str">
        <f aca="false">IF($H476="","",IF(ISNUMBER(INDEX(Register!$E$11:$E$510,MATCH($H476,Register!$J$11:$J$510,0))),INDEX(Register!$E$11:$E$510,MATCH($H476,Register!$J$11:$J$510,0))&amp;" mo",INDEX(Register!$E$11:$E$510,MATCH($H476,Register!$J$11:$J$510,0))&amp;""))</f>
        <v/>
      </c>
      <c r="F476" s="26" t="str">
        <f aca="false">IF($H476="","",INDEX(Register!$F$11:$F$510,MATCH($H476,Register!$J$11:$J$510,0)))</f>
        <v/>
      </c>
      <c r="G476" s="27" t="str">
        <f aca="false">IF($H476="","",IF(INDEX(Register!$G$11:$G$510,MATCH($H476,Register!$J$11:$J$510,0))="Check details","Check details: "&amp;INDEX(Register!$I$11:$I$510,MATCH($H476,Register!$J$11:$J$510,0)),INDEX(Register!$G$11:$G$510,MATCH($H476,Register!$J$11:$J$510,0))))</f>
        <v/>
      </c>
      <c r="H476" s="28" t="str">
        <f aca="false">IF(470&gt;COUNT(Register!$J$11:$J$510),"",SMALL(Register!$J$11:$J$510,470))</f>
        <v/>
      </c>
    </row>
    <row r="477" customFormat="false" ht="15" hidden="false" customHeight="false" outlineLevel="0" collapsed="false">
      <c r="A477" s="25" t="str">
        <f aca="false">IF($H477="","",INDEX(Register!$A$11:$A$510,MATCH($H477,Register!$J$11:$J$510,0))&amp;"")</f>
        <v/>
      </c>
      <c r="B477" s="25" t="str">
        <f aca="false">IF($H477="","",INDEX(Register!$B$11:$B$510,MATCH($H477,Register!$J$11:$J$510,0))&amp;"")</f>
        <v/>
      </c>
      <c r="C477" s="25" t="str">
        <f aca="false">IF($H477="","",INDEX(Register!$C$11:$C$510,MATCH($H477,Register!$J$11:$J$510,0))&amp;"")</f>
        <v/>
      </c>
      <c r="D477" s="26" t="str">
        <f aca="false">IF($H477="","",IF(ISNUMBER(INDEX(Register!$D$11:$D$510,MATCH($H477,Register!$J$11:$J$510,0))),INDEX(Register!$D$11:$D$510,MATCH($H477,Register!$J$11:$J$510,0)),INDEX(Register!$D$11:$D$510,MATCH($H477,Register!$J$11:$J$510,0))&amp;""))</f>
        <v/>
      </c>
      <c r="E477" s="25" t="str">
        <f aca="false">IF($H477="","",IF(ISNUMBER(INDEX(Register!$E$11:$E$510,MATCH($H477,Register!$J$11:$J$510,0))),INDEX(Register!$E$11:$E$510,MATCH($H477,Register!$J$11:$J$510,0))&amp;" mo",INDEX(Register!$E$11:$E$510,MATCH($H477,Register!$J$11:$J$510,0))&amp;""))</f>
        <v/>
      </c>
      <c r="F477" s="26" t="str">
        <f aca="false">IF($H477="","",INDEX(Register!$F$11:$F$510,MATCH($H477,Register!$J$11:$J$510,0)))</f>
        <v/>
      </c>
      <c r="G477" s="27" t="str">
        <f aca="false">IF($H477="","",IF(INDEX(Register!$G$11:$G$510,MATCH($H477,Register!$J$11:$J$510,0))="Check details","Check details: "&amp;INDEX(Register!$I$11:$I$510,MATCH($H477,Register!$J$11:$J$510,0)),INDEX(Register!$G$11:$G$510,MATCH($H477,Register!$J$11:$J$510,0))))</f>
        <v/>
      </c>
      <c r="H477" s="28" t="str">
        <f aca="false">IF(471&gt;COUNT(Register!$J$11:$J$510),"",SMALL(Register!$J$11:$J$510,471))</f>
        <v/>
      </c>
    </row>
    <row r="478" customFormat="false" ht="15" hidden="false" customHeight="false" outlineLevel="0" collapsed="false">
      <c r="A478" s="25" t="str">
        <f aca="false">IF($H478="","",INDEX(Register!$A$11:$A$510,MATCH($H478,Register!$J$11:$J$510,0))&amp;"")</f>
        <v/>
      </c>
      <c r="B478" s="25" t="str">
        <f aca="false">IF($H478="","",INDEX(Register!$B$11:$B$510,MATCH($H478,Register!$J$11:$J$510,0))&amp;"")</f>
        <v/>
      </c>
      <c r="C478" s="25" t="str">
        <f aca="false">IF($H478="","",INDEX(Register!$C$11:$C$510,MATCH($H478,Register!$J$11:$J$510,0))&amp;"")</f>
        <v/>
      </c>
      <c r="D478" s="26" t="str">
        <f aca="false">IF($H478="","",IF(ISNUMBER(INDEX(Register!$D$11:$D$510,MATCH($H478,Register!$J$11:$J$510,0))),INDEX(Register!$D$11:$D$510,MATCH($H478,Register!$J$11:$J$510,0)),INDEX(Register!$D$11:$D$510,MATCH($H478,Register!$J$11:$J$510,0))&amp;""))</f>
        <v/>
      </c>
      <c r="E478" s="25" t="str">
        <f aca="false">IF($H478="","",IF(ISNUMBER(INDEX(Register!$E$11:$E$510,MATCH($H478,Register!$J$11:$J$510,0))),INDEX(Register!$E$11:$E$510,MATCH($H478,Register!$J$11:$J$510,0))&amp;" mo",INDEX(Register!$E$11:$E$510,MATCH($H478,Register!$J$11:$J$510,0))&amp;""))</f>
        <v/>
      </c>
      <c r="F478" s="26" t="str">
        <f aca="false">IF($H478="","",INDEX(Register!$F$11:$F$510,MATCH($H478,Register!$J$11:$J$510,0)))</f>
        <v/>
      </c>
      <c r="G478" s="27" t="str">
        <f aca="false">IF($H478="","",IF(INDEX(Register!$G$11:$G$510,MATCH($H478,Register!$J$11:$J$510,0))="Check details","Check details: "&amp;INDEX(Register!$I$11:$I$510,MATCH($H478,Register!$J$11:$J$510,0)),INDEX(Register!$G$11:$G$510,MATCH($H478,Register!$J$11:$J$510,0))))</f>
        <v/>
      </c>
      <c r="H478" s="28" t="str">
        <f aca="false">IF(472&gt;COUNT(Register!$J$11:$J$510),"",SMALL(Register!$J$11:$J$510,472))</f>
        <v/>
      </c>
    </row>
    <row r="479" customFormat="false" ht="15" hidden="false" customHeight="false" outlineLevel="0" collapsed="false">
      <c r="A479" s="25" t="str">
        <f aca="false">IF($H479="","",INDEX(Register!$A$11:$A$510,MATCH($H479,Register!$J$11:$J$510,0))&amp;"")</f>
        <v/>
      </c>
      <c r="B479" s="25" t="str">
        <f aca="false">IF($H479="","",INDEX(Register!$B$11:$B$510,MATCH($H479,Register!$J$11:$J$510,0))&amp;"")</f>
        <v/>
      </c>
      <c r="C479" s="25" t="str">
        <f aca="false">IF($H479="","",INDEX(Register!$C$11:$C$510,MATCH($H479,Register!$J$11:$J$510,0))&amp;"")</f>
        <v/>
      </c>
      <c r="D479" s="26" t="str">
        <f aca="false">IF($H479="","",IF(ISNUMBER(INDEX(Register!$D$11:$D$510,MATCH($H479,Register!$J$11:$J$510,0))),INDEX(Register!$D$11:$D$510,MATCH($H479,Register!$J$11:$J$510,0)),INDEX(Register!$D$11:$D$510,MATCH($H479,Register!$J$11:$J$510,0))&amp;""))</f>
        <v/>
      </c>
      <c r="E479" s="25" t="str">
        <f aca="false">IF($H479="","",IF(ISNUMBER(INDEX(Register!$E$11:$E$510,MATCH($H479,Register!$J$11:$J$510,0))),INDEX(Register!$E$11:$E$510,MATCH($H479,Register!$J$11:$J$510,0))&amp;" mo",INDEX(Register!$E$11:$E$510,MATCH($H479,Register!$J$11:$J$510,0))&amp;""))</f>
        <v/>
      </c>
      <c r="F479" s="26" t="str">
        <f aca="false">IF($H479="","",INDEX(Register!$F$11:$F$510,MATCH($H479,Register!$J$11:$J$510,0)))</f>
        <v/>
      </c>
      <c r="G479" s="27" t="str">
        <f aca="false">IF($H479="","",IF(INDEX(Register!$G$11:$G$510,MATCH($H479,Register!$J$11:$J$510,0))="Check details","Check details: "&amp;INDEX(Register!$I$11:$I$510,MATCH($H479,Register!$J$11:$J$510,0)),INDEX(Register!$G$11:$G$510,MATCH($H479,Register!$J$11:$J$510,0))))</f>
        <v/>
      </c>
      <c r="H479" s="28" t="str">
        <f aca="false">IF(473&gt;COUNT(Register!$J$11:$J$510),"",SMALL(Register!$J$11:$J$510,473))</f>
        <v/>
      </c>
    </row>
    <row r="480" customFormat="false" ht="15" hidden="false" customHeight="false" outlineLevel="0" collapsed="false">
      <c r="A480" s="25" t="str">
        <f aca="false">IF($H480="","",INDEX(Register!$A$11:$A$510,MATCH($H480,Register!$J$11:$J$510,0))&amp;"")</f>
        <v/>
      </c>
      <c r="B480" s="25" t="str">
        <f aca="false">IF($H480="","",INDEX(Register!$B$11:$B$510,MATCH($H480,Register!$J$11:$J$510,0))&amp;"")</f>
        <v/>
      </c>
      <c r="C480" s="25" t="str">
        <f aca="false">IF($H480="","",INDEX(Register!$C$11:$C$510,MATCH($H480,Register!$J$11:$J$510,0))&amp;"")</f>
        <v/>
      </c>
      <c r="D480" s="26" t="str">
        <f aca="false">IF($H480="","",IF(ISNUMBER(INDEX(Register!$D$11:$D$510,MATCH($H480,Register!$J$11:$J$510,0))),INDEX(Register!$D$11:$D$510,MATCH($H480,Register!$J$11:$J$510,0)),INDEX(Register!$D$11:$D$510,MATCH($H480,Register!$J$11:$J$510,0))&amp;""))</f>
        <v/>
      </c>
      <c r="E480" s="25" t="str">
        <f aca="false">IF($H480="","",IF(ISNUMBER(INDEX(Register!$E$11:$E$510,MATCH($H480,Register!$J$11:$J$510,0))),INDEX(Register!$E$11:$E$510,MATCH($H480,Register!$J$11:$J$510,0))&amp;" mo",INDEX(Register!$E$11:$E$510,MATCH($H480,Register!$J$11:$J$510,0))&amp;""))</f>
        <v/>
      </c>
      <c r="F480" s="26" t="str">
        <f aca="false">IF($H480="","",INDEX(Register!$F$11:$F$510,MATCH($H480,Register!$J$11:$J$510,0)))</f>
        <v/>
      </c>
      <c r="G480" s="27" t="str">
        <f aca="false">IF($H480="","",IF(INDEX(Register!$G$11:$G$510,MATCH($H480,Register!$J$11:$J$510,0))="Check details","Check details: "&amp;INDEX(Register!$I$11:$I$510,MATCH($H480,Register!$J$11:$J$510,0)),INDEX(Register!$G$11:$G$510,MATCH($H480,Register!$J$11:$J$510,0))))</f>
        <v/>
      </c>
      <c r="H480" s="28" t="str">
        <f aca="false">IF(474&gt;COUNT(Register!$J$11:$J$510),"",SMALL(Register!$J$11:$J$510,474))</f>
        <v/>
      </c>
    </row>
    <row r="481" customFormat="false" ht="15" hidden="false" customHeight="false" outlineLevel="0" collapsed="false">
      <c r="A481" s="25" t="str">
        <f aca="false">IF($H481="","",INDEX(Register!$A$11:$A$510,MATCH($H481,Register!$J$11:$J$510,0))&amp;"")</f>
        <v/>
      </c>
      <c r="B481" s="25" t="str">
        <f aca="false">IF($H481="","",INDEX(Register!$B$11:$B$510,MATCH($H481,Register!$J$11:$J$510,0))&amp;"")</f>
        <v/>
      </c>
      <c r="C481" s="25" t="str">
        <f aca="false">IF($H481="","",INDEX(Register!$C$11:$C$510,MATCH($H481,Register!$J$11:$J$510,0))&amp;"")</f>
        <v/>
      </c>
      <c r="D481" s="26" t="str">
        <f aca="false">IF($H481="","",IF(ISNUMBER(INDEX(Register!$D$11:$D$510,MATCH($H481,Register!$J$11:$J$510,0))),INDEX(Register!$D$11:$D$510,MATCH($H481,Register!$J$11:$J$510,0)),INDEX(Register!$D$11:$D$510,MATCH($H481,Register!$J$11:$J$510,0))&amp;""))</f>
        <v/>
      </c>
      <c r="E481" s="25" t="str">
        <f aca="false">IF($H481="","",IF(ISNUMBER(INDEX(Register!$E$11:$E$510,MATCH($H481,Register!$J$11:$J$510,0))),INDEX(Register!$E$11:$E$510,MATCH($H481,Register!$J$11:$J$510,0))&amp;" mo",INDEX(Register!$E$11:$E$510,MATCH($H481,Register!$J$11:$J$510,0))&amp;""))</f>
        <v/>
      </c>
      <c r="F481" s="26" t="str">
        <f aca="false">IF($H481="","",INDEX(Register!$F$11:$F$510,MATCH($H481,Register!$J$11:$J$510,0)))</f>
        <v/>
      </c>
      <c r="G481" s="27" t="str">
        <f aca="false">IF($H481="","",IF(INDEX(Register!$G$11:$G$510,MATCH($H481,Register!$J$11:$J$510,0))="Check details","Check details: "&amp;INDEX(Register!$I$11:$I$510,MATCH($H481,Register!$J$11:$J$510,0)),INDEX(Register!$G$11:$G$510,MATCH($H481,Register!$J$11:$J$510,0))))</f>
        <v/>
      </c>
      <c r="H481" s="28" t="str">
        <f aca="false">IF(475&gt;COUNT(Register!$J$11:$J$510),"",SMALL(Register!$J$11:$J$510,475))</f>
        <v/>
      </c>
    </row>
    <row r="482" customFormat="false" ht="15" hidden="false" customHeight="false" outlineLevel="0" collapsed="false">
      <c r="A482" s="25" t="str">
        <f aca="false">IF($H482="","",INDEX(Register!$A$11:$A$510,MATCH($H482,Register!$J$11:$J$510,0))&amp;"")</f>
        <v/>
      </c>
      <c r="B482" s="25" t="str">
        <f aca="false">IF($H482="","",INDEX(Register!$B$11:$B$510,MATCH($H482,Register!$J$11:$J$510,0))&amp;"")</f>
        <v/>
      </c>
      <c r="C482" s="25" t="str">
        <f aca="false">IF($H482="","",INDEX(Register!$C$11:$C$510,MATCH($H482,Register!$J$11:$J$510,0))&amp;"")</f>
        <v/>
      </c>
      <c r="D482" s="26" t="str">
        <f aca="false">IF($H482="","",IF(ISNUMBER(INDEX(Register!$D$11:$D$510,MATCH($H482,Register!$J$11:$J$510,0))),INDEX(Register!$D$11:$D$510,MATCH($H482,Register!$J$11:$J$510,0)),INDEX(Register!$D$11:$D$510,MATCH($H482,Register!$J$11:$J$510,0))&amp;""))</f>
        <v/>
      </c>
      <c r="E482" s="25" t="str">
        <f aca="false">IF($H482="","",IF(ISNUMBER(INDEX(Register!$E$11:$E$510,MATCH($H482,Register!$J$11:$J$510,0))),INDEX(Register!$E$11:$E$510,MATCH($H482,Register!$J$11:$J$510,0))&amp;" mo",INDEX(Register!$E$11:$E$510,MATCH($H482,Register!$J$11:$J$510,0))&amp;""))</f>
        <v/>
      </c>
      <c r="F482" s="26" t="str">
        <f aca="false">IF($H482="","",INDEX(Register!$F$11:$F$510,MATCH($H482,Register!$J$11:$J$510,0)))</f>
        <v/>
      </c>
      <c r="G482" s="27" t="str">
        <f aca="false">IF($H482="","",IF(INDEX(Register!$G$11:$G$510,MATCH($H482,Register!$J$11:$J$510,0))="Check details","Check details: "&amp;INDEX(Register!$I$11:$I$510,MATCH($H482,Register!$J$11:$J$510,0)),INDEX(Register!$G$11:$G$510,MATCH($H482,Register!$J$11:$J$510,0))))</f>
        <v/>
      </c>
      <c r="H482" s="28" t="str">
        <f aca="false">IF(476&gt;COUNT(Register!$J$11:$J$510),"",SMALL(Register!$J$11:$J$510,476))</f>
        <v/>
      </c>
    </row>
    <row r="483" customFormat="false" ht="15" hidden="false" customHeight="false" outlineLevel="0" collapsed="false">
      <c r="A483" s="25" t="str">
        <f aca="false">IF($H483="","",INDEX(Register!$A$11:$A$510,MATCH($H483,Register!$J$11:$J$510,0))&amp;"")</f>
        <v/>
      </c>
      <c r="B483" s="25" t="str">
        <f aca="false">IF($H483="","",INDEX(Register!$B$11:$B$510,MATCH($H483,Register!$J$11:$J$510,0))&amp;"")</f>
        <v/>
      </c>
      <c r="C483" s="25" t="str">
        <f aca="false">IF($H483="","",INDEX(Register!$C$11:$C$510,MATCH($H483,Register!$J$11:$J$510,0))&amp;"")</f>
        <v/>
      </c>
      <c r="D483" s="26" t="str">
        <f aca="false">IF($H483="","",IF(ISNUMBER(INDEX(Register!$D$11:$D$510,MATCH($H483,Register!$J$11:$J$510,0))),INDEX(Register!$D$11:$D$510,MATCH($H483,Register!$J$11:$J$510,0)),INDEX(Register!$D$11:$D$510,MATCH($H483,Register!$J$11:$J$510,0))&amp;""))</f>
        <v/>
      </c>
      <c r="E483" s="25" t="str">
        <f aca="false">IF($H483="","",IF(ISNUMBER(INDEX(Register!$E$11:$E$510,MATCH($H483,Register!$J$11:$J$510,0))),INDEX(Register!$E$11:$E$510,MATCH($H483,Register!$J$11:$J$510,0))&amp;" mo",INDEX(Register!$E$11:$E$510,MATCH($H483,Register!$J$11:$J$510,0))&amp;""))</f>
        <v/>
      </c>
      <c r="F483" s="26" t="str">
        <f aca="false">IF($H483="","",INDEX(Register!$F$11:$F$510,MATCH($H483,Register!$J$11:$J$510,0)))</f>
        <v/>
      </c>
      <c r="G483" s="27" t="str">
        <f aca="false">IF($H483="","",IF(INDEX(Register!$G$11:$G$510,MATCH($H483,Register!$J$11:$J$510,0))="Check details","Check details: "&amp;INDEX(Register!$I$11:$I$510,MATCH($H483,Register!$J$11:$J$510,0)),INDEX(Register!$G$11:$G$510,MATCH($H483,Register!$J$11:$J$510,0))))</f>
        <v/>
      </c>
      <c r="H483" s="28" t="str">
        <f aca="false">IF(477&gt;COUNT(Register!$J$11:$J$510),"",SMALL(Register!$J$11:$J$510,477))</f>
        <v/>
      </c>
    </row>
    <row r="484" customFormat="false" ht="15" hidden="false" customHeight="false" outlineLevel="0" collapsed="false">
      <c r="A484" s="25" t="str">
        <f aca="false">IF($H484="","",INDEX(Register!$A$11:$A$510,MATCH($H484,Register!$J$11:$J$510,0))&amp;"")</f>
        <v/>
      </c>
      <c r="B484" s="25" t="str">
        <f aca="false">IF($H484="","",INDEX(Register!$B$11:$B$510,MATCH($H484,Register!$J$11:$J$510,0))&amp;"")</f>
        <v/>
      </c>
      <c r="C484" s="25" t="str">
        <f aca="false">IF($H484="","",INDEX(Register!$C$11:$C$510,MATCH($H484,Register!$J$11:$J$510,0))&amp;"")</f>
        <v/>
      </c>
      <c r="D484" s="26" t="str">
        <f aca="false">IF($H484="","",IF(ISNUMBER(INDEX(Register!$D$11:$D$510,MATCH($H484,Register!$J$11:$J$510,0))),INDEX(Register!$D$11:$D$510,MATCH($H484,Register!$J$11:$J$510,0)),INDEX(Register!$D$11:$D$510,MATCH($H484,Register!$J$11:$J$510,0))&amp;""))</f>
        <v/>
      </c>
      <c r="E484" s="25" t="str">
        <f aca="false">IF($H484="","",IF(ISNUMBER(INDEX(Register!$E$11:$E$510,MATCH($H484,Register!$J$11:$J$510,0))),INDEX(Register!$E$11:$E$510,MATCH($H484,Register!$J$11:$J$510,0))&amp;" mo",INDEX(Register!$E$11:$E$510,MATCH($H484,Register!$J$11:$J$510,0))&amp;""))</f>
        <v/>
      </c>
      <c r="F484" s="26" t="str">
        <f aca="false">IF($H484="","",INDEX(Register!$F$11:$F$510,MATCH($H484,Register!$J$11:$J$510,0)))</f>
        <v/>
      </c>
      <c r="G484" s="27" t="str">
        <f aca="false">IF($H484="","",IF(INDEX(Register!$G$11:$G$510,MATCH($H484,Register!$J$11:$J$510,0))="Check details","Check details: "&amp;INDEX(Register!$I$11:$I$510,MATCH($H484,Register!$J$11:$J$510,0)),INDEX(Register!$G$11:$G$510,MATCH($H484,Register!$J$11:$J$510,0))))</f>
        <v/>
      </c>
      <c r="H484" s="28" t="str">
        <f aca="false">IF(478&gt;COUNT(Register!$J$11:$J$510),"",SMALL(Register!$J$11:$J$510,478))</f>
        <v/>
      </c>
    </row>
    <row r="485" customFormat="false" ht="15" hidden="false" customHeight="false" outlineLevel="0" collapsed="false">
      <c r="A485" s="25" t="str">
        <f aca="false">IF($H485="","",INDEX(Register!$A$11:$A$510,MATCH($H485,Register!$J$11:$J$510,0))&amp;"")</f>
        <v/>
      </c>
      <c r="B485" s="25" t="str">
        <f aca="false">IF($H485="","",INDEX(Register!$B$11:$B$510,MATCH($H485,Register!$J$11:$J$510,0))&amp;"")</f>
        <v/>
      </c>
      <c r="C485" s="25" t="str">
        <f aca="false">IF($H485="","",INDEX(Register!$C$11:$C$510,MATCH($H485,Register!$J$11:$J$510,0))&amp;"")</f>
        <v/>
      </c>
      <c r="D485" s="26" t="str">
        <f aca="false">IF($H485="","",IF(ISNUMBER(INDEX(Register!$D$11:$D$510,MATCH($H485,Register!$J$11:$J$510,0))),INDEX(Register!$D$11:$D$510,MATCH($H485,Register!$J$11:$J$510,0)),INDEX(Register!$D$11:$D$510,MATCH($H485,Register!$J$11:$J$510,0))&amp;""))</f>
        <v/>
      </c>
      <c r="E485" s="25" t="str">
        <f aca="false">IF($H485="","",IF(ISNUMBER(INDEX(Register!$E$11:$E$510,MATCH($H485,Register!$J$11:$J$510,0))),INDEX(Register!$E$11:$E$510,MATCH($H485,Register!$J$11:$J$510,0))&amp;" mo",INDEX(Register!$E$11:$E$510,MATCH($H485,Register!$J$11:$J$510,0))&amp;""))</f>
        <v/>
      </c>
      <c r="F485" s="26" t="str">
        <f aca="false">IF($H485="","",INDEX(Register!$F$11:$F$510,MATCH($H485,Register!$J$11:$J$510,0)))</f>
        <v/>
      </c>
      <c r="G485" s="27" t="str">
        <f aca="false">IF($H485="","",IF(INDEX(Register!$G$11:$G$510,MATCH($H485,Register!$J$11:$J$510,0))="Check details","Check details: "&amp;INDEX(Register!$I$11:$I$510,MATCH($H485,Register!$J$11:$J$510,0)),INDEX(Register!$G$11:$G$510,MATCH($H485,Register!$J$11:$J$510,0))))</f>
        <v/>
      </c>
      <c r="H485" s="28" t="str">
        <f aca="false">IF(479&gt;COUNT(Register!$J$11:$J$510),"",SMALL(Register!$J$11:$J$510,479))</f>
        <v/>
      </c>
    </row>
    <row r="486" customFormat="false" ht="15" hidden="false" customHeight="false" outlineLevel="0" collapsed="false">
      <c r="A486" s="25" t="str">
        <f aca="false">IF($H486="","",INDEX(Register!$A$11:$A$510,MATCH($H486,Register!$J$11:$J$510,0))&amp;"")</f>
        <v/>
      </c>
      <c r="B486" s="25" t="str">
        <f aca="false">IF($H486="","",INDEX(Register!$B$11:$B$510,MATCH($H486,Register!$J$11:$J$510,0))&amp;"")</f>
        <v/>
      </c>
      <c r="C486" s="25" t="str">
        <f aca="false">IF($H486="","",INDEX(Register!$C$11:$C$510,MATCH($H486,Register!$J$11:$J$510,0))&amp;"")</f>
        <v/>
      </c>
      <c r="D486" s="26" t="str">
        <f aca="false">IF($H486="","",IF(ISNUMBER(INDEX(Register!$D$11:$D$510,MATCH($H486,Register!$J$11:$J$510,0))),INDEX(Register!$D$11:$D$510,MATCH($H486,Register!$J$11:$J$510,0)),INDEX(Register!$D$11:$D$510,MATCH($H486,Register!$J$11:$J$510,0))&amp;""))</f>
        <v/>
      </c>
      <c r="E486" s="25" t="str">
        <f aca="false">IF($H486="","",IF(ISNUMBER(INDEX(Register!$E$11:$E$510,MATCH($H486,Register!$J$11:$J$510,0))),INDEX(Register!$E$11:$E$510,MATCH($H486,Register!$J$11:$J$510,0))&amp;" mo",INDEX(Register!$E$11:$E$510,MATCH($H486,Register!$J$11:$J$510,0))&amp;""))</f>
        <v/>
      </c>
      <c r="F486" s="26" t="str">
        <f aca="false">IF($H486="","",INDEX(Register!$F$11:$F$510,MATCH($H486,Register!$J$11:$J$510,0)))</f>
        <v/>
      </c>
      <c r="G486" s="27" t="str">
        <f aca="false">IF($H486="","",IF(INDEX(Register!$G$11:$G$510,MATCH($H486,Register!$J$11:$J$510,0))="Check details","Check details: "&amp;INDEX(Register!$I$11:$I$510,MATCH($H486,Register!$J$11:$J$510,0)),INDEX(Register!$G$11:$G$510,MATCH($H486,Register!$J$11:$J$510,0))))</f>
        <v/>
      </c>
      <c r="H486" s="28" t="str">
        <f aca="false">IF(480&gt;COUNT(Register!$J$11:$J$510),"",SMALL(Register!$J$11:$J$510,480))</f>
        <v/>
      </c>
    </row>
    <row r="487" customFormat="false" ht="15" hidden="false" customHeight="false" outlineLevel="0" collapsed="false">
      <c r="A487" s="25" t="str">
        <f aca="false">IF($H487="","",INDEX(Register!$A$11:$A$510,MATCH($H487,Register!$J$11:$J$510,0))&amp;"")</f>
        <v/>
      </c>
      <c r="B487" s="25" t="str">
        <f aca="false">IF($H487="","",INDEX(Register!$B$11:$B$510,MATCH($H487,Register!$J$11:$J$510,0))&amp;"")</f>
        <v/>
      </c>
      <c r="C487" s="25" t="str">
        <f aca="false">IF($H487="","",INDEX(Register!$C$11:$C$510,MATCH($H487,Register!$J$11:$J$510,0))&amp;"")</f>
        <v/>
      </c>
      <c r="D487" s="26" t="str">
        <f aca="false">IF($H487="","",IF(ISNUMBER(INDEX(Register!$D$11:$D$510,MATCH($H487,Register!$J$11:$J$510,0))),INDEX(Register!$D$11:$D$510,MATCH($H487,Register!$J$11:$J$510,0)),INDEX(Register!$D$11:$D$510,MATCH($H487,Register!$J$11:$J$510,0))&amp;""))</f>
        <v/>
      </c>
      <c r="E487" s="25" t="str">
        <f aca="false">IF($H487="","",IF(ISNUMBER(INDEX(Register!$E$11:$E$510,MATCH($H487,Register!$J$11:$J$510,0))),INDEX(Register!$E$11:$E$510,MATCH($H487,Register!$J$11:$J$510,0))&amp;" mo",INDEX(Register!$E$11:$E$510,MATCH($H487,Register!$J$11:$J$510,0))&amp;""))</f>
        <v/>
      </c>
      <c r="F487" s="26" t="str">
        <f aca="false">IF($H487="","",INDEX(Register!$F$11:$F$510,MATCH($H487,Register!$J$11:$J$510,0)))</f>
        <v/>
      </c>
      <c r="G487" s="27" t="str">
        <f aca="false">IF($H487="","",IF(INDEX(Register!$G$11:$G$510,MATCH($H487,Register!$J$11:$J$510,0))="Check details","Check details: "&amp;INDEX(Register!$I$11:$I$510,MATCH($H487,Register!$J$11:$J$510,0)),INDEX(Register!$G$11:$G$510,MATCH($H487,Register!$J$11:$J$510,0))))</f>
        <v/>
      </c>
      <c r="H487" s="28" t="str">
        <f aca="false">IF(481&gt;COUNT(Register!$J$11:$J$510),"",SMALL(Register!$J$11:$J$510,481))</f>
        <v/>
      </c>
    </row>
    <row r="488" customFormat="false" ht="15" hidden="false" customHeight="false" outlineLevel="0" collapsed="false">
      <c r="A488" s="25" t="str">
        <f aca="false">IF($H488="","",INDEX(Register!$A$11:$A$510,MATCH($H488,Register!$J$11:$J$510,0))&amp;"")</f>
        <v/>
      </c>
      <c r="B488" s="25" t="str">
        <f aca="false">IF($H488="","",INDEX(Register!$B$11:$B$510,MATCH($H488,Register!$J$11:$J$510,0))&amp;"")</f>
        <v/>
      </c>
      <c r="C488" s="25" t="str">
        <f aca="false">IF($H488="","",INDEX(Register!$C$11:$C$510,MATCH($H488,Register!$J$11:$J$510,0))&amp;"")</f>
        <v/>
      </c>
      <c r="D488" s="26" t="str">
        <f aca="false">IF($H488="","",IF(ISNUMBER(INDEX(Register!$D$11:$D$510,MATCH($H488,Register!$J$11:$J$510,0))),INDEX(Register!$D$11:$D$510,MATCH($H488,Register!$J$11:$J$510,0)),INDEX(Register!$D$11:$D$510,MATCH($H488,Register!$J$11:$J$510,0))&amp;""))</f>
        <v/>
      </c>
      <c r="E488" s="25" t="str">
        <f aca="false">IF($H488="","",IF(ISNUMBER(INDEX(Register!$E$11:$E$510,MATCH($H488,Register!$J$11:$J$510,0))),INDEX(Register!$E$11:$E$510,MATCH($H488,Register!$J$11:$J$510,0))&amp;" mo",INDEX(Register!$E$11:$E$510,MATCH($H488,Register!$J$11:$J$510,0))&amp;""))</f>
        <v/>
      </c>
      <c r="F488" s="26" t="str">
        <f aca="false">IF($H488="","",INDEX(Register!$F$11:$F$510,MATCH($H488,Register!$J$11:$J$510,0)))</f>
        <v/>
      </c>
      <c r="G488" s="27" t="str">
        <f aca="false">IF($H488="","",IF(INDEX(Register!$G$11:$G$510,MATCH($H488,Register!$J$11:$J$510,0))="Check details","Check details: "&amp;INDEX(Register!$I$11:$I$510,MATCH($H488,Register!$J$11:$J$510,0)),INDEX(Register!$G$11:$G$510,MATCH($H488,Register!$J$11:$J$510,0))))</f>
        <v/>
      </c>
      <c r="H488" s="28" t="str">
        <f aca="false">IF(482&gt;COUNT(Register!$J$11:$J$510),"",SMALL(Register!$J$11:$J$510,482))</f>
        <v/>
      </c>
    </row>
    <row r="489" customFormat="false" ht="15" hidden="false" customHeight="false" outlineLevel="0" collapsed="false">
      <c r="A489" s="25" t="str">
        <f aca="false">IF($H489="","",INDEX(Register!$A$11:$A$510,MATCH($H489,Register!$J$11:$J$510,0))&amp;"")</f>
        <v/>
      </c>
      <c r="B489" s="25" t="str">
        <f aca="false">IF($H489="","",INDEX(Register!$B$11:$B$510,MATCH($H489,Register!$J$11:$J$510,0))&amp;"")</f>
        <v/>
      </c>
      <c r="C489" s="25" t="str">
        <f aca="false">IF($H489="","",INDEX(Register!$C$11:$C$510,MATCH($H489,Register!$J$11:$J$510,0))&amp;"")</f>
        <v/>
      </c>
      <c r="D489" s="26" t="str">
        <f aca="false">IF($H489="","",IF(ISNUMBER(INDEX(Register!$D$11:$D$510,MATCH($H489,Register!$J$11:$J$510,0))),INDEX(Register!$D$11:$D$510,MATCH($H489,Register!$J$11:$J$510,0)),INDEX(Register!$D$11:$D$510,MATCH($H489,Register!$J$11:$J$510,0))&amp;""))</f>
        <v/>
      </c>
      <c r="E489" s="25" t="str">
        <f aca="false">IF($H489="","",IF(ISNUMBER(INDEX(Register!$E$11:$E$510,MATCH($H489,Register!$J$11:$J$510,0))),INDEX(Register!$E$11:$E$510,MATCH($H489,Register!$J$11:$J$510,0))&amp;" mo",INDEX(Register!$E$11:$E$510,MATCH($H489,Register!$J$11:$J$510,0))&amp;""))</f>
        <v/>
      </c>
      <c r="F489" s="26" t="str">
        <f aca="false">IF($H489="","",INDEX(Register!$F$11:$F$510,MATCH($H489,Register!$J$11:$J$510,0)))</f>
        <v/>
      </c>
      <c r="G489" s="27" t="str">
        <f aca="false">IF($H489="","",IF(INDEX(Register!$G$11:$G$510,MATCH($H489,Register!$J$11:$J$510,0))="Check details","Check details: "&amp;INDEX(Register!$I$11:$I$510,MATCH($H489,Register!$J$11:$J$510,0)),INDEX(Register!$G$11:$G$510,MATCH($H489,Register!$J$11:$J$510,0))))</f>
        <v/>
      </c>
      <c r="H489" s="28" t="str">
        <f aca="false">IF(483&gt;COUNT(Register!$J$11:$J$510),"",SMALL(Register!$J$11:$J$510,483))</f>
        <v/>
      </c>
    </row>
    <row r="490" customFormat="false" ht="15" hidden="false" customHeight="false" outlineLevel="0" collapsed="false">
      <c r="A490" s="25" t="str">
        <f aca="false">IF($H490="","",INDEX(Register!$A$11:$A$510,MATCH($H490,Register!$J$11:$J$510,0))&amp;"")</f>
        <v/>
      </c>
      <c r="B490" s="25" t="str">
        <f aca="false">IF($H490="","",INDEX(Register!$B$11:$B$510,MATCH($H490,Register!$J$11:$J$510,0))&amp;"")</f>
        <v/>
      </c>
      <c r="C490" s="25" t="str">
        <f aca="false">IF($H490="","",INDEX(Register!$C$11:$C$510,MATCH($H490,Register!$J$11:$J$510,0))&amp;"")</f>
        <v/>
      </c>
      <c r="D490" s="26" t="str">
        <f aca="false">IF($H490="","",IF(ISNUMBER(INDEX(Register!$D$11:$D$510,MATCH($H490,Register!$J$11:$J$510,0))),INDEX(Register!$D$11:$D$510,MATCH($H490,Register!$J$11:$J$510,0)),INDEX(Register!$D$11:$D$510,MATCH($H490,Register!$J$11:$J$510,0))&amp;""))</f>
        <v/>
      </c>
      <c r="E490" s="25" t="str">
        <f aca="false">IF($H490="","",IF(ISNUMBER(INDEX(Register!$E$11:$E$510,MATCH($H490,Register!$J$11:$J$510,0))),INDEX(Register!$E$11:$E$510,MATCH($H490,Register!$J$11:$J$510,0))&amp;" mo",INDEX(Register!$E$11:$E$510,MATCH($H490,Register!$J$11:$J$510,0))&amp;""))</f>
        <v/>
      </c>
      <c r="F490" s="26" t="str">
        <f aca="false">IF($H490="","",INDEX(Register!$F$11:$F$510,MATCH($H490,Register!$J$11:$J$510,0)))</f>
        <v/>
      </c>
      <c r="G490" s="27" t="str">
        <f aca="false">IF($H490="","",IF(INDEX(Register!$G$11:$G$510,MATCH($H490,Register!$J$11:$J$510,0))="Check details","Check details: "&amp;INDEX(Register!$I$11:$I$510,MATCH($H490,Register!$J$11:$J$510,0)),INDEX(Register!$G$11:$G$510,MATCH($H490,Register!$J$11:$J$510,0))))</f>
        <v/>
      </c>
      <c r="H490" s="28" t="str">
        <f aca="false">IF(484&gt;COUNT(Register!$J$11:$J$510),"",SMALL(Register!$J$11:$J$510,484))</f>
        <v/>
      </c>
    </row>
    <row r="491" customFormat="false" ht="15" hidden="false" customHeight="false" outlineLevel="0" collapsed="false">
      <c r="A491" s="25" t="str">
        <f aca="false">IF($H491="","",INDEX(Register!$A$11:$A$510,MATCH($H491,Register!$J$11:$J$510,0))&amp;"")</f>
        <v/>
      </c>
      <c r="B491" s="25" t="str">
        <f aca="false">IF($H491="","",INDEX(Register!$B$11:$B$510,MATCH($H491,Register!$J$11:$J$510,0))&amp;"")</f>
        <v/>
      </c>
      <c r="C491" s="25" t="str">
        <f aca="false">IF($H491="","",INDEX(Register!$C$11:$C$510,MATCH($H491,Register!$J$11:$J$510,0))&amp;"")</f>
        <v/>
      </c>
      <c r="D491" s="26" t="str">
        <f aca="false">IF($H491="","",IF(ISNUMBER(INDEX(Register!$D$11:$D$510,MATCH($H491,Register!$J$11:$J$510,0))),INDEX(Register!$D$11:$D$510,MATCH($H491,Register!$J$11:$J$510,0)),INDEX(Register!$D$11:$D$510,MATCH($H491,Register!$J$11:$J$510,0))&amp;""))</f>
        <v/>
      </c>
      <c r="E491" s="25" t="str">
        <f aca="false">IF($H491="","",IF(ISNUMBER(INDEX(Register!$E$11:$E$510,MATCH($H491,Register!$J$11:$J$510,0))),INDEX(Register!$E$11:$E$510,MATCH($H491,Register!$J$11:$J$510,0))&amp;" mo",INDEX(Register!$E$11:$E$510,MATCH($H491,Register!$J$11:$J$510,0))&amp;""))</f>
        <v/>
      </c>
      <c r="F491" s="26" t="str">
        <f aca="false">IF($H491="","",INDEX(Register!$F$11:$F$510,MATCH($H491,Register!$J$11:$J$510,0)))</f>
        <v/>
      </c>
      <c r="G491" s="27" t="str">
        <f aca="false">IF($H491="","",IF(INDEX(Register!$G$11:$G$510,MATCH($H491,Register!$J$11:$J$510,0))="Check details","Check details: "&amp;INDEX(Register!$I$11:$I$510,MATCH($H491,Register!$J$11:$J$510,0)),INDEX(Register!$G$11:$G$510,MATCH($H491,Register!$J$11:$J$510,0))))</f>
        <v/>
      </c>
      <c r="H491" s="28" t="str">
        <f aca="false">IF(485&gt;COUNT(Register!$J$11:$J$510),"",SMALL(Register!$J$11:$J$510,485))</f>
        <v/>
      </c>
    </row>
    <row r="492" customFormat="false" ht="15" hidden="false" customHeight="false" outlineLevel="0" collapsed="false">
      <c r="A492" s="25" t="str">
        <f aca="false">IF($H492="","",INDEX(Register!$A$11:$A$510,MATCH($H492,Register!$J$11:$J$510,0))&amp;"")</f>
        <v/>
      </c>
      <c r="B492" s="25" t="str">
        <f aca="false">IF($H492="","",INDEX(Register!$B$11:$B$510,MATCH($H492,Register!$J$11:$J$510,0))&amp;"")</f>
        <v/>
      </c>
      <c r="C492" s="25" t="str">
        <f aca="false">IF($H492="","",INDEX(Register!$C$11:$C$510,MATCH($H492,Register!$J$11:$J$510,0))&amp;"")</f>
        <v/>
      </c>
      <c r="D492" s="26" t="str">
        <f aca="false">IF($H492="","",IF(ISNUMBER(INDEX(Register!$D$11:$D$510,MATCH($H492,Register!$J$11:$J$510,0))),INDEX(Register!$D$11:$D$510,MATCH($H492,Register!$J$11:$J$510,0)),INDEX(Register!$D$11:$D$510,MATCH($H492,Register!$J$11:$J$510,0))&amp;""))</f>
        <v/>
      </c>
      <c r="E492" s="25" t="str">
        <f aca="false">IF($H492="","",IF(ISNUMBER(INDEX(Register!$E$11:$E$510,MATCH($H492,Register!$J$11:$J$510,0))),INDEX(Register!$E$11:$E$510,MATCH($H492,Register!$J$11:$J$510,0))&amp;" mo",INDEX(Register!$E$11:$E$510,MATCH($H492,Register!$J$11:$J$510,0))&amp;""))</f>
        <v/>
      </c>
      <c r="F492" s="26" t="str">
        <f aca="false">IF($H492="","",INDEX(Register!$F$11:$F$510,MATCH($H492,Register!$J$11:$J$510,0)))</f>
        <v/>
      </c>
      <c r="G492" s="27" t="str">
        <f aca="false">IF($H492="","",IF(INDEX(Register!$G$11:$G$510,MATCH($H492,Register!$J$11:$J$510,0))="Check details","Check details: "&amp;INDEX(Register!$I$11:$I$510,MATCH($H492,Register!$J$11:$J$510,0)),INDEX(Register!$G$11:$G$510,MATCH($H492,Register!$J$11:$J$510,0))))</f>
        <v/>
      </c>
      <c r="H492" s="28" t="str">
        <f aca="false">IF(486&gt;COUNT(Register!$J$11:$J$510),"",SMALL(Register!$J$11:$J$510,486))</f>
        <v/>
      </c>
    </row>
    <row r="493" customFormat="false" ht="15" hidden="false" customHeight="false" outlineLevel="0" collapsed="false">
      <c r="A493" s="25" t="str">
        <f aca="false">IF($H493="","",INDEX(Register!$A$11:$A$510,MATCH($H493,Register!$J$11:$J$510,0))&amp;"")</f>
        <v/>
      </c>
      <c r="B493" s="25" t="str">
        <f aca="false">IF($H493="","",INDEX(Register!$B$11:$B$510,MATCH($H493,Register!$J$11:$J$510,0))&amp;"")</f>
        <v/>
      </c>
      <c r="C493" s="25" t="str">
        <f aca="false">IF($H493="","",INDEX(Register!$C$11:$C$510,MATCH($H493,Register!$J$11:$J$510,0))&amp;"")</f>
        <v/>
      </c>
      <c r="D493" s="26" t="str">
        <f aca="false">IF($H493="","",IF(ISNUMBER(INDEX(Register!$D$11:$D$510,MATCH($H493,Register!$J$11:$J$510,0))),INDEX(Register!$D$11:$D$510,MATCH($H493,Register!$J$11:$J$510,0)),INDEX(Register!$D$11:$D$510,MATCH($H493,Register!$J$11:$J$510,0))&amp;""))</f>
        <v/>
      </c>
      <c r="E493" s="25" t="str">
        <f aca="false">IF($H493="","",IF(ISNUMBER(INDEX(Register!$E$11:$E$510,MATCH($H493,Register!$J$11:$J$510,0))),INDEX(Register!$E$11:$E$510,MATCH($H493,Register!$J$11:$J$510,0))&amp;" mo",INDEX(Register!$E$11:$E$510,MATCH($H493,Register!$J$11:$J$510,0))&amp;""))</f>
        <v/>
      </c>
      <c r="F493" s="26" t="str">
        <f aca="false">IF($H493="","",INDEX(Register!$F$11:$F$510,MATCH($H493,Register!$J$11:$J$510,0)))</f>
        <v/>
      </c>
      <c r="G493" s="27" t="str">
        <f aca="false">IF($H493="","",IF(INDEX(Register!$G$11:$G$510,MATCH($H493,Register!$J$11:$J$510,0))="Check details","Check details: "&amp;INDEX(Register!$I$11:$I$510,MATCH($H493,Register!$J$11:$J$510,0)),INDEX(Register!$G$11:$G$510,MATCH($H493,Register!$J$11:$J$510,0))))</f>
        <v/>
      </c>
      <c r="H493" s="28" t="str">
        <f aca="false">IF(487&gt;COUNT(Register!$J$11:$J$510),"",SMALL(Register!$J$11:$J$510,487))</f>
        <v/>
      </c>
    </row>
    <row r="494" customFormat="false" ht="15" hidden="false" customHeight="false" outlineLevel="0" collapsed="false">
      <c r="A494" s="25" t="str">
        <f aca="false">IF($H494="","",INDEX(Register!$A$11:$A$510,MATCH($H494,Register!$J$11:$J$510,0))&amp;"")</f>
        <v/>
      </c>
      <c r="B494" s="25" t="str">
        <f aca="false">IF($H494="","",INDEX(Register!$B$11:$B$510,MATCH($H494,Register!$J$11:$J$510,0))&amp;"")</f>
        <v/>
      </c>
      <c r="C494" s="25" t="str">
        <f aca="false">IF($H494="","",INDEX(Register!$C$11:$C$510,MATCH($H494,Register!$J$11:$J$510,0))&amp;"")</f>
        <v/>
      </c>
      <c r="D494" s="26" t="str">
        <f aca="false">IF($H494="","",IF(ISNUMBER(INDEX(Register!$D$11:$D$510,MATCH($H494,Register!$J$11:$J$510,0))),INDEX(Register!$D$11:$D$510,MATCH($H494,Register!$J$11:$J$510,0)),INDEX(Register!$D$11:$D$510,MATCH($H494,Register!$J$11:$J$510,0))&amp;""))</f>
        <v/>
      </c>
      <c r="E494" s="25" t="str">
        <f aca="false">IF($H494="","",IF(ISNUMBER(INDEX(Register!$E$11:$E$510,MATCH($H494,Register!$J$11:$J$510,0))),INDEX(Register!$E$11:$E$510,MATCH($H494,Register!$J$11:$J$510,0))&amp;" mo",INDEX(Register!$E$11:$E$510,MATCH($H494,Register!$J$11:$J$510,0))&amp;""))</f>
        <v/>
      </c>
      <c r="F494" s="26" t="str">
        <f aca="false">IF($H494="","",INDEX(Register!$F$11:$F$510,MATCH($H494,Register!$J$11:$J$510,0)))</f>
        <v/>
      </c>
      <c r="G494" s="27" t="str">
        <f aca="false">IF($H494="","",IF(INDEX(Register!$G$11:$G$510,MATCH($H494,Register!$J$11:$J$510,0))="Check details","Check details: "&amp;INDEX(Register!$I$11:$I$510,MATCH($H494,Register!$J$11:$J$510,0)),INDEX(Register!$G$11:$G$510,MATCH($H494,Register!$J$11:$J$510,0))))</f>
        <v/>
      </c>
      <c r="H494" s="28" t="str">
        <f aca="false">IF(488&gt;COUNT(Register!$J$11:$J$510),"",SMALL(Register!$J$11:$J$510,488))</f>
        <v/>
      </c>
    </row>
    <row r="495" customFormat="false" ht="15" hidden="false" customHeight="false" outlineLevel="0" collapsed="false">
      <c r="A495" s="25" t="str">
        <f aca="false">IF($H495="","",INDEX(Register!$A$11:$A$510,MATCH($H495,Register!$J$11:$J$510,0))&amp;"")</f>
        <v/>
      </c>
      <c r="B495" s="25" t="str">
        <f aca="false">IF($H495="","",INDEX(Register!$B$11:$B$510,MATCH($H495,Register!$J$11:$J$510,0))&amp;"")</f>
        <v/>
      </c>
      <c r="C495" s="25" t="str">
        <f aca="false">IF($H495="","",INDEX(Register!$C$11:$C$510,MATCH($H495,Register!$J$11:$J$510,0))&amp;"")</f>
        <v/>
      </c>
      <c r="D495" s="26" t="str">
        <f aca="false">IF($H495="","",IF(ISNUMBER(INDEX(Register!$D$11:$D$510,MATCH($H495,Register!$J$11:$J$510,0))),INDEX(Register!$D$11:$D$510,MATCH($H495,Register!$J$11:$J$510,0)),INDEX(Register!$D$11:$D$510,MATCH($H495,Register!$J$11:$J$510,0))&amp;""))</f>
        <v/>
      </c>
      <c r="E495" s="25" t="str">
        <f aca="false">IF($H495="","",IF(ISNUMBER(INDEX(Register!$E$11:$E$510,MATCH($H495,Register!$J$11:$J$510,0))),INDEX(Register!$E$11:$E$510,MATCH($H495,Register!$J$11:$J$510,0))&amp;" mo",INDEX(Register!$E$11:$E$510,MATCH($H495,Register!$J$11:$J$510,0))&amp;""))</f>
        <v/>
      </c>
      <c r="F495" s="26" t="str">
        <f aca="false">IF($H495="","",INDEX(Register!$F$11:$F$510,MATCH($H495,Register!$J$11:$J$510,0)))</f>
        <v/>
      </c>
      <c r="G495" s="27" t="str">
        <f aca="false">IF($H495="","",IF(INDEX(Register!$G$11:$G$510,MATCH($H495,Register!$J$11:$J$510,0))="Check details","Check details: "&amp;INDEX(Register!$I$11:$I$510,MATCH($H495,Register!$J$11:$J$510,0)),INDEX(Register!$G$11:$G$510,MATCH($H495,Register!$J$11:$J$510,0))))</f>
        <v/>
      </c>
      <c r="H495" s="28" t="str">
        <f aca="false">IF(489&gt;COUNT(Register!$J$11:$J$510),"",SMALL(Register!$J$11:$J$510,489))</f>
        <v/>
      </c>
    </row>
    <row r="496" customFormat="false" ht="15" hidden="false" customHeight="false" outlineLevel="0" collapsed="false">
      <c r="A496" s="25" t="str">
        <f aca="false">IF($H496="","",INDEX(Register!$A$11:$A$510,MATCH($H496,Register!$J$11:$J$510,0))&amp;"")</f>
        <v/>
      </c>
      <c r="B496" s="25" t="str">
        <f aca="false">IF($H496="","",INDEX(Register!$B$11:$B$510,MATCH($H496,Register!$J$11:$J$510,0))&amp;"")</f>
        <v/>
      </c>
      <c r="C496" s="25" t="str">
        <f aca="false">IF($H496="","",INDEX(Register!$C$11:$C$510,MATCH($H496,Register!$J$11:$J$510,0))&amp;"")</f>
        <v/>
      </c>
      <c r="D496" s="26" t="str">
        <f aca="false">IF($H496="","",IF(ISNUMBER(INDEX(Register!$D$11:$D$510,MATCH($H496,Register!$J$11:$J$510,0))),INDEX(Register!$D$11:$D$510,MATCH($H496,Register!$J$11:$J$510,0)),INDEX(Register!$D$11:$D$510,MATCH($H496,Register!$J$11:$J$510,0))&amp;""))</f>
        <v/>
      </c>
      <c r="E496" s="25" t="str">
        <f aca="false">IF($H496="","",IF(ISNUMBER(INDEX(Register!$E$11:$E$510,MATCH($H496,Register!$J$11:$J$510,0))),INDEX(Register!$E$11:$E$510,MATCH($H496,Register!$J$11:$J$510,0))&amp;" mo",INDEX(Register!$E$11:$E$510,MATCH($H496,Register!$J$11:$J$510,0))&amp;""))</f>
        <v/>
      </c>
      <c r="F496" s="26" t="str">
        <f aca="false">IF($H496="","",INDEX(Register!$F$11:$F$510,MATCH($H496,Register!$J$11:$J$510,0)))</f>
        <v/>
      </c>
      <c r="G496" s="27" t="str">
        <f aca="false">IF($H496="","",IF(INDEX(Register!$G$11:$G$510,MATCH($H496,Register!$J$11:$J$510,0))="Check details","Check details: "&amp;INDEX(Register!$I$11:$I$510,MATCH($H496,Register!$J$11:$J$510,0)),INDEX(Register!$G$11:$G$510,MATCH($H496,Register!$J$11:$J$510,0))))</f>
        <v/>
      </c>
      <c r="H496" s="28" t="str">
        <f aca="false">IF(490&gt;COUNT(Register!$J$11:$J$510),"",SMALL(Register!$J$11:$J$510,490))</f>
        <v/>
      </c>
    </row>
    <row r="497" customFormat="false" ht="15" hidden="false" customHeight="false" outlineLevel="0" collapsed="false">
      <c r="A497" s="25" t="str">
        <f aca="false">IF($H497="","",INDEX(Register!$A$11:$A$510,MATCH($H497,Register!$J$11:$J$510,0))&amp;"")</f>
        <v/>
      </c>
      <c r="B497" s="25" t="str">
        <f aca="false">IF($H497="","",INDEX(Register!$B$11:$B$510,MATCH($H497,Register!$J$11:$J$510,0))&amp;"")</f>
        <v/>
      </c>
      <c r="C497" s="25" t="str">
        <f aca="false">IF($H497="","",INDEX(Register!$C$11:$C$510,MATCH($H497,Register!$J$11:$J$510,0))&amp;"")</f>
        <v/>
      </c>
      <c r="D497" s="26" t="str">
        <f aca="false">IF($H497="","",IF(ISNUMBER(INDEX(Register!$D$11:$D$510,MATCH($H497,Register!$J$11:$J$510,0))),INDEX(Register!$D$11:$D$510,MATCH($H497,Register!$J$11:$J$510,0)),INDEX(Register!$D$11:$D$510,MATCH($H497,Register!$J$11:$J$510,0))&amp;""))</f>
        <v/>
      </c>
      <c r="E497" s="25" t="str">
        <f aca="false">IF($H497="","",IF(ISNUMBER(INDEX(Register!$E$11:$E$510,MATCH($H497,Register!$J$11:$J$510,0))),INDEX(Register!$E$11:$E$510,MATCH($H497,Register!$J$11:$J$510,0))&amp;" mo",INDEX(Register!$E$11:$E$510,MATCH($H497,Register!$J$11:$J$510,0))&amp;""))</f>
        <v/>
      </c>
      <c r="F497" s="26" t="str">
        <f aca="false">IF($H497="","",INDEX(Register!$F$11:$F$510,MATCH($H497,Register!$J$11:$J$510,0)))</f>
        <v/>
      </c>
      <c r="G497" s="27" t="str">
        <f aca="false">IF($H497="","",IF(INDEX(Register!$G$11:$G$510,MATCH($H497,Register!$J$11:$J$510,0))="Check details","Check details: "&amp;INDEX(Register!$I$11:$I$510,MATCH($H497,Register!$J$11:$J$510,0)),INDEX(Register!$G$11:$G$510,MATCH($H497,Register!$J$11:$J$510,0))))</f>
        <v/>
      </c>
      <c r="H497" s="28" t="str">
        <f aca="false">IF(491&gt;COUNT(Register!$J$11:$J$510),"",SMALL(Register!$J$11:$J$510,491))</f>
        <v/>
      </c>
    </row>
    <row r="498" customFormat="false" ht="15" hidden="false" customHeight="false" outlineLevel="0" collapsed="false">
      <c r="A498" s="25" t="str">
        <f aca="false">IF($H498="","",INDEX(Register!$A$11:$A$510,MATCH($H498,Register!$J$11:$J$510,0))&amp;"")</f>
        <v/>
      </c>
      <c r="B498" s="25" t="str">
        <f aca="false">IF($H498="","",INDEX(Register!$B$11:$B$510,MATCH($H498,Register!$J$11:$J$510,0))&amp;"")</f>
        <v/>
      </c>
      <c r="C498" s="25" t="str">
        <f aca="false">IF($H498="","",INDEX(Register!$C$11:$C$510,MATCH($H498,Register!$J$11:$J$510,0))&amp;"")</f>
        <v/>
      </c>
      <c r="D498" s="26" t="str">
        <f aca="false">IF($H498="","",IF(ISNUMBER(INDEX(Register!$D$11:$D$510,MATCH($H498,Register!$J$11:$J$510,0))),INDEX(Register!$D$11:$D$510,MATCH($H498,Register!$J$11:$J$510,0)),INDEX(Register!$D$11:$D$510,MATCH($H498,Register!$J$11:$J$510,0))&amp;""))</f>
        <v/>
      </c>
      <c r="E498" s="25" t="str">
        <f aca="false">IF($H498="","",IF(ISNUMBER(INDEX(Register!$E$11:$E$510,MATCH($H498,Register!$J$11:$J$510,0))),INDEX(Register!$E$11:$E$510,MATCH($H498,Register!$J$11:$J$510,0))&amp;" mo",INDEX(Register!$E$11:$E$510,MATCH($H498,Register!$J$11:$J$510,0))&amp;""))</f>
        <v/>
      </c>
      <c r="F498" s="26" t="str">
        <f aca="false">IF($H498="","",INDEX(Register!$F$11:$F$510,MATCH($H498,Register!$J$11:$J$510,0)))</f>
        <v/>
      </c>
      <c r="G498" s="27" t="str">
        <f aca="false">IF($H498="","",IF(INDEX(Register!$G$11:$G$510,MATCH($H498,Register!$J$11:$J$510,0))="Check details","Check details: "&amp;INDEX(Register!$I$11:$I$510,MATCH($H498,Register!$J$11:$J$510,0)),INDEX(Register!$G$11:$G$510,MATCH($H498,Register!$J$11:$J$510,0))))</f>
        <v/>
      </c>
      <c r="H498" s="28" t="str">
        <f aca="false">IF(492&gt;COUNT(Register!$J$11:$J$510),"",SMALL(Register!$J$11:$J$510,492))</f>
        <v/>
      </c>
    </row>
    <row r="499" customFormat="false" ht="15" hidden="false" customHeight="false" outlineLevel="0" collapsed="false">
      <c r="A499" s="25" t="str">
        <f aca="false">IF($H499="","",INDEX(Register!$A$11:$A$510,MATCH($H499,Register!$J$11:$J$510,0))&amp;"")</f>
        <v/>
      </c>
      <c r="B499" s="25" t="str">
        <f aca="false">IF($H499="","",INDEX(Register!$B$11:$B$510,MATCH($H499,Register!$J$11:$J$510,0))&amp;"")</f>
        <v/>
      </c>
      <c r="C499" s="25" t="str">
        <f aca="false">IF($H499="","",INDEX(Register!$C$11:$C$510,MATCH($H499,Register!$J$11:$J$510,0))&amp;"")</f>
        <v/>
      </c>
      <c r="D499" s="26" t="str">
        <f aca="false">IF($H499="","",IF(ISNUMBER(INDEX(Register!$D$11:$D$510,MATCH($H499,Register!$J$11:$J$510,0))),INDEX(Register!$D$11:$D$510,MATCH($H499,Register!$J$11:$J$510,0)),INDEX(Register!$D$11:$D$510,MATCH($H499,Register!$J$11:$J$510,0))&amp;""))</f>
        <v/>
      </c>
      <c r="E499" s="25" t="str">
        <f aca="false">IF($H499="","",IF(ISNUMBER(INDEX(Register!$E$11:$E$510,MATCH($H499,Register!$J$11:$J$510,0))),INDEX(Register!$E$11:$E$510,MATCH($H499,Register!$J$11:$J$510,0))&amp;" mo",INDEX(Register!$E$11:$E$510,MATCH($H499,Register!$J$11:$J$510,0))&amp;""))</f>
        <v/>
      </c>
      <c r="F499" s="26" t="str">
        <f aca="false">IF($H499="","",INDEX(Register!$F$11:$F$510,MATCH($H499,Register!$J$11:$J$510,0)))</f>
        <v/>
      </c>
      <c r="G499" s="27" t="str">
        <f aca="false">IF($H499="","",IF(INDEX(Register!$G$11:$G$510,MATCH($H499,Register!$J$11:$J$510,0))="Check details","Check details: "&amp;INDEX(Register!$I$11:$I$510,MATCH($H499,Register!$J$11:$J$510,0)),INDEX(Register!$G$11:$G$510,MATCH($H499,Register!$J$11:$J$510,0))))</f>
        <v/>
      </c>
      <c r="H499" s="28" t="str">
        <f aca="false">IF(493&gt;COUNT(Register!$J$11:$J$510),"",SMALL(Register!$J$11:$J$510,493))</f>
        <v/>
      </c>
    </row>
    <row r="500" customFormat="false" ht="15" hidden="false" customHeight="false" outlineLevel="0" collapsed="false">
      <c r="A500" s="25" t="str">
        <f aca="false">IF($H500="","",INDEX(Register!$A$11:$A$510,MATCH($H500,Register!$J$11:$J$510,0))&amp;"")</f>
        <v/>
      </c>
      <c r="B500" s="25" t="str">
        <f aca="false">IF($H500="","",INDEX(Register!$B$11:$B$510,MATCH($H500,Register!$J$11:$J$510,0))&amp;"")</f>
        <v/>
      </c>
      <c r="C500" s="25" t="str">
        <f aca="false">IF($H500="","",INDEX(Register!$C$11:$C$510,MATCH($H500,Register!$J$11:$J$510,0))&amp;"")</f>
        <v/>
      </c>
      <c r="D500" s="26" t="str">
        <f aca="false">IF($H500="","",IF(ISNUMBER(INDEX(Register!$D$11:$D$510,MATCH($H500,Register!$J$11:$J$510,0))),INDEX(Register!$D$11:$D$510,MATCH($H500,Register!$J$11:$J$510,0)),INDEX(Register!$D$11:$D$510,MATCH($H500,Register!$J$11:$J$510,0))&amp;""))</f>
        <v/>
      </c>
      <c r="E500" s="25" t="str">
        <f aca="false">IF($H500="","",IF(ISNUMBER(INDEX(Register!$E$11:$E$510,MATCH($H500,Register!$J$11:$J$510,0))),INDEX(Register!$E$11:$E$510,MATCH($H500,Register!$J$11:$J$510,0))&amp;" mo",INDEX(Register!$E$11:$E$510,MATCH($H500,Register!$J$11:$J$510,0))&amp;""))</f>
        <v/>
      </c>
      <c r="F500" s="26" t="str">
        <f aca="false">IF($H500="","",INDEX(Register!$F$11:$F$510,MATCH($H500,Register!$J$11:$J$510,0)))</f>
        <v/>
      </c>
      <c r="G500" s="27" t="str">
        <f aca="false">IF($H500="","",IF(INDEX(Register!$G$11:$G$510,MATCH($H500,Register!$J$11:$J$510,0))="Check details","Check details: "&amp;INDEX(Register!$I$11:$I$510,MATCH($H500,Register!$J$11:$J$510,0)),INDEX(Register!$G$11:$G$510,MATCH($H500,Register!$J$11:$J$510,0))))</f>
        <v/>
      </c>
      <c r="H500" s="28" t="str">
        <f aca="false">IF(494&gt;COUNT(Register!$J$11:$J$510),"",SMALL(Register!$J$11:$J$510,494))</f>
        <v/>
      </c>
    </row>
    <row r="501" customFormat="false" ht="15" hidden="false" customHeight="false" outlineLevel="0" collapsed="false">
      <c r="A501" s="25" t="str">
        <f aca="false">IF($H501="","",INDEX(Register!$A$11:$A$510,MATCH($H501,Register!$J$11:$J$510,0))&amp;"")</f>
        <v/>
      </c>
      <c r="B501" s="25" t="str">
        <f aca="false">IF($H501="","",INDEX(Register!$B$11:$B$510,MATCH($H501,Register!$J$11:$J$510,0))&amp;"")</f>
        <v/>
      </c>
      <c r="C501" s="25" t="str">
        <f aca="false">IF($H501="","",INDEX(Register!$C$11:$C$510,MATCH($H501,Register!$J$11:$J$510,0))&amp;"")</f>
        <v/>
      </c>
      <c r="D501" s="26" t="str">
        <f aca="false">IF($H501="","",IF(ISNUMBER(INDEX(Register!$D$11:$D$510,MATCH($H501,Register!$J$11:$J$510,0))),INDEX(Register!$D$11:$D$510,MATCH($H501,Register!$J$11:$J$510,0)),INDEX(Register!$D$11:$D$510,MATCH($H501,Register!$J$11:$J$510,0))&amp;""))</f>
        <v/>
      </c>
      <c r="E501" s="25" t="str">
        <f aca="false">IF($H501="","",IF(ISNUMBER(INDEX(Register!$E$11:$E$510,MATCH($H501,Register!$J$11:$J$510,0))),INDEX(Register!$E$11:$E$510,MATCH($H501,Register!$J$11:$J$510,0))&amp;" mo",INDEX(Register!$E$11:$E$510,MATCH($H501,Register!$J$11:$J$510,0))&amp;""))</f>
        <v/>
      </c>
      <c r="F501" s="26" t="str">
        <f aca="false">IF($H501="","",INDEX(Register!$F$11:$F$510,MATCH($H501,Register!$J$11:$J$510,0)))</f>
        <v/>
      </c>
      <c r="G501" s="27" t="str">
        <f aca="false">IF($H501="","",IF(INDEX(Register!$G$11:$G$510,MATCH($H501,Register!$J$11:$J$510,0))="Check details","Check details: "&amp;INDEX(Register!$I$11:$I$510,MATCH($H501,Register!$J$11:$J$510,0)),INDEX(Register!$G$11:$G$510,MATCH($H501,Register!$J$11:$J$510,0))))</f>
        <v/>
      </c>
      <c r="H501" s="28" t="str">
        <f aca="false">IF(495&gt;COUNT(Register!$J$11:$J$510),"",SMALL(Register!$J$11:$J$510,495))</f>
        <v/>
      </c>
    </row>
    <row r="502" customFormat="false" ht="15" hidden="false" customHeight="false" outlineLevel="0" collapsed="false">
      <c r="A502" s="25" t="str">
        <f aca="false">IF($H502="","",INDEX(Register!$A$11:$A$510,MATCH($H502,Register!$J$11:$J$510,0))&amp;"")</f>
        <v/>
      </c>
      <c r="B502" s="25" t="str">
        <f aca="false">IF($H502="","",INDEX(Register!$B$11:$B$510,MATCH($H502,Register!$J$11:$J$510,0))&amp;"")</f>
        <v/>
      </c>
      <c r="C502" s="25" t="str">
        <f aca="false">IF($H502="","",INDEX(Register!$C$11:$C$510,MATCH($H502,Register!$J$11:$J$510,0))&amp;"")</f>
        <v/>
      </c>
      <c r="D502" s="26" t="str">
        <f aca="false">IF($H502="","",IF(ISNUMBER(INDEX(Register!$D$11:$D$510,MATCH($H502,Register!$J$11:$J$510,0))),INDEX(Register!$D$11:$D$510,MATCH($H502,Register!$J$11:$J$510,0)),INDEX(Register!$D$11:$D$510,MATCH($H502,Register!$J$11:$J$510,0))&amp;""))</f>
        <v/>
      </c>
      <c r="E502" s="25" t="str">
        <f aca="false">IF($H502="","",IF(ISNUMBER(INDEX(Register!$E$11:$E$510,MATCH($H502,Register!$J$11:$J$510,0))),INDEX(Register!$E$11:$E$510,MATCH($H502,Register!$J$11:$J$510,0))&amp;" mo",INDEX(Register!$E$11:$E$510,MATCH($H502,Register!$J$11:$J$510,0))&amp;""))</f>
        <v/>
      </c>
      <c r="F502" s="26" t="str">
        <f aca="false">IF($H502="","",INDEX(Register!$F$11:$F$510,MATCH($H502,Register!$J$11:$J$510,0)))</f>
        <v/>
      </c>
      <c r="G502" s="27" t="str">
        <f aca="false">IF($H502="","",IF(INDEX(Register!$G$11:$G$510,MATCH($H502,Register!$J$11:$J$510,0))="Check details","Check details: "&amp;INDEX(Register!$I$11:$I$510,MATCH($H502,Register!$J$11:$J$510,0)),INDEX(Register!$G$11:$G$510,MATCH($H502,Register!$J$11:$J$510,0))))</f>
        <v/>
      </c>
      <c r="H502" s="28" t="str">
        <f aca="false">IF(496&gt;COUNT(Register!$J$11:$J$510),"",SMALL(Register!$J$11:$J$510,496))</f>
        <v/>
      </c>
    </row>
    <row r="503" customFormat="false" ht="15" hidden="false" customHeight="false" outlineLevel="0" collapsed="false">
      <c r="A503" s="25" t="str">
        <f aca="false">IF($H503="","",INDEX(Register!$A$11:$A$510,MATCH($H503,Register!$J$11:$J$510,0))&amp;"")</f>
        <v/>
      </c>
      <c r="B503" s="25" t="str">
        <f aca="false">IF($H503="","",INDEX(Register!$B$11:$B$510,MATCH($H503,Register!$J$11:$J$510,0))&amp;"")</f>
        <v/>
      </c>
      <c r="C503" s="25" t="str">
        <f aca="false">IF($H503="","",INDEX(Register!$C$11:$C$510,MATCH($H503,Register!$J$11:$J$510,0))&amp;"")</f>
        <v/>
      </c>
      <c r="D503" s="26" t="str">
        <f aca="false">IF($H503="","",IF(ISNUMBER(INDEX(Register!$D$11:$D$510,MATCH($H503,Register!$J$11:$J$510,0))),INDEX(Register!$D$11:$D$510,MATCH($H503,Register!$J$11:$J$510,0)),INDEX(Register!$D$11:$D$510,MATCH($H503,Register!$J$11:$J$510,0))&amp;""))</f>
        <v/>
      </c>
      <c r="E503" s="25" t="str">
        <f aca="false">IF($H503="","",IF(ISNUMBER(INDEX(Register!$E$11:$E$510,MATCH($H503,Register!$J$11:$J$510,0))),INDEX(Register!$E$11:$E$510,MATCH($H503,Register!$J$11:$J$510,0))&amp;" mo",INDEX(Register!$E$11:$E$510,MATCH($H503,Register!$J$11:$J$510,0))&amp;""))</f>
        <v/>
      </c>
      <c r="F503" s="26" t="str">
        <f aca="false">IF($H503="","",INDEX(Register!$F$11:$F$510,MATCH($H503,Register!$J$11:$J$510,0)))</f>
        <v/>
      </c>
      <c r="G503" s="27" t="str">
        <f aca="false">IF($H503="","",IF(INDEX(Register!$G$11:$G$510,MATCH($H503,Register!$J$11:$J$510,0))="Check details","Check details: "&amp;INDEX(Register!$I$11:$I$510,MATCH($H503,Register!$J$11:$J$510,0)),INDEX(Register!$G$11:$G$510,MATCH($H503,Register!$J$11:$J$510,0))))</f>
        <v/>
      </c>
      <c r="H503" s="28" t="str">
        <f aca="false">IF(497&gt;COUNT(Register!$J$11:$J$510),"",SMALL(Register!$J$11:$J$510,497))</f>
        <v/>
      </c>
    </row>
    <row r="504" customFormat="false" ht="15" hidden="false" customHeight="false" outlineLevel="0" collapsed="false">
      <c r="A504" s="25" t="str">
        <f aca="false">IF($H504="","",INDEX(Register!$A$11:$A$510,MATCH($H504,Register!$J$11:$J$510,0))&amp;"")</f>
        <v/>
      </c>
      <c r="B504" s="25" t="str">
        <f aca="false">IF($H504="","",INDEX(Register!$B$11:$B$510,MATCH($H504,Register!$J$11:$J$510,0))&amp;"")</f>
        <v/>
      </c>
      <c r="C504" s="25" t="str">
        <f aca="false">IF($H504="","",INDEX(Register!$C$11:$C$510,MATCH($H504,Register!$J$11:$J$510,0))&amp;"")</f>
        <v/>
      </c>
      <c r="D504" s="26" t="str">
        <f aca="false">IF($H504="","",IF(ISNUMBER(INDEX(Register!$D$11:$D$510,MATCH($H504,Register!$J$11:$J$510,0))),INDEX(Register!$D$11:$D$510,MATCH($H504,Register!$J$11:$J$510,0)),INDEX(Register!$D$11:$D$510,MATCH($H504,Register!$J$11:$J$510,0))&amp;""))</f>
        <v/>
      </c>
      <c r="E504" s="25" t="str">
        <f aca="false">IF($H504="","",IF(ISNUMBER(INDEX(Register!$E$11:$E$510,MATCH($H504,Register!$J$11:$J$510,0))),INDEX(Register!$E$11:$E$510,MATCH($H504,Register!$J$11:$J$510,0))&amp;" mo",INDEX(Register!$E$11:$E$510,MATCH($H504,Register!$J$11:$J$510,0))&amp;""))</f>
        <v/>
      </c>
      <c r="F504" s="26" t="str">
        <f aca="false">IF($H504="","",INDEX(Register!$F$11:$F$510,MATCH($H504,Register!$J$11:$J$510,0)))</f>
        <v/>
      </c>
      <c r="G504" s="27" t="str">
        <f aca="false">IF($H504="","",IF(INDEX(Register!$G$11:$G$510,MATCH($H504,Register!$J$11:$J$510,0))="Check details","Check details: "&amp;INDEX(Register!$I$11:$I$510,MATCH($H504,Register!$J$11:$J$510,0)),INDEX(Register!$G$11:$G$510,MATCH($H504,Register!$J$11:$J$510,0))))</f>
        <v/>
      </c>
      <c r="H504" s="28" t="str">
        <f aca="false">IF(498&gt;COUNT(Register!$J$11:$J$510),"",SMALL(Register!$J$11:$J$510,498))</f>
        <v/>
      </c>
    </row>
    <row r="505" customFormat="false" ht="15" hidden="false" customHeight="false" outlineLevel="0" collapsed="false">
      <c r="A505" s="25" t="str">
        <f aca="false">IF($H505="","",INDEX(Register!$A$11:$A$510,MATCH($H505,Register!$J$11:$J$510,0))&amp;"")</f>
        <v/>
      </c>
      <c r="B505" s="25" t="str">
        <f aca="false">IF($H505="","",INDEX(Register!$B$11:$B$510,MATCH($H505,Register!$J$11:$J$510,0))&amp;"")</f>
        <v/>
      </c>
      <c r="C505" s="25" t="str">
        <f aca="false">IF($H505="","",INDEX(Register!$C$11:$C$510,MATCH($H505,Register!$J$11:$J$510,0))&amp;"")</f>
        <v/>
      </c>
      <c r="D505" s="26" t="str">
        <f aca="false">IF($H505="","",IF(ISNUMBER(INDEX(Register!$D$11:$D$510,MATCH($H505,Register!$J$11:$J$510,0))),INDEX(Register!$D$11:$D$510,MATCH($H505,Register!$J$11:$J$510,0)),INDEX(Register!$D$11:$D$510,MATCH($H505,Register!$J$11:$J$510,0))&amp;""))</f>
        <v/>
      </c>
      <c r="E505" s="25" t="str">
        <f aca="false">IF($H505="","",IF(ISNUMBER(INDEX(Register!$E$11:$E$510,MATCH($H505,Register!$J$11:$J$510,0))),INDEX(Register!$E$11:$E$510,MATCH($H505,Register!$J$11:$J$510,0))&amp;" mo",INDEX(Register!$E$11:$E$510,MATCH($H505,Register!$J$11:$J$510,0))&amp;""))</f>
        <v/>
      </c>
      <c r="F505" s="26" t="str">
        <f aca="false">IF($H505="","",INDEX(Register!$F$11:$F$510,MATCH($H505,Register!$J$11:$J$510,0)))</f>
        <v/>
      </c>
      <c r="G505" s="27" t="str">
        <f aca="false">IF($H505="","",IF(INDEX(Register!$G$11:$G$510,MATCH($H505,Register!$J$11:$J$510,0))="Check details","Check details: "&amp;INDEX(Register!$I$11:$I$510,MATCH($H505,Register!$J$11:$J$510,0)),INDEX(Register!$G$11:$G$510,MATCH($H505,Register!$J$11:$J$510,0))))</f>
        <v/>
      </c>
      <c r="H505" s="28" t="str">
        <f aca="false">IF(499&gt;COUNT(Register!$J$11:$J$510),"",SMALL(Register!$J$11:$J$510,499))</f>
        <v/>
      </c>
    </row>
    <row r="506" customFormat="false" ht="15" hidden="false" customHeight="false" outlineLevel="0" collapsed="false">
      <c r="A506" s="25" t="str">
        <f aca="false">IF($H506="","",INDEX(Register!$A$11:$A$510,MATCH($H506,Register!$J$11:$J$510,0))&amp;"")</f>
        <v/>
      </c>
      <c r="B506" s="25" t="str">
        <f aca="false">IF($H506="","",INDEX(Register!$B$11:$B$510,MATCH($H506,Register!$J$11:$J$510,0))&amp;"")</f>
        <v/>
      </c>
      <c r="C506" s="25" t="str">
        <f aca="false">IF($H506="","",INDEX(Register!$C$11:$C$510,MATCH($H506,Register!$J$11:$J$510,0))&amp;"")</f>
        <v/>
      </c>
      <c r="D506" s="26" t="str">
        <f aca="false">IF($H506="","",IF(ISNUMBER(INDEX(Register!$D$11:$D$510,MATCH($H506,Register!$J$11:$J$510,0))),INDEX(Register!$D$11:$D$510,MATCH($H506,Register!$J$11:$J$510,0)),INDEX(Register!$D$11:$D$510,MATCH($H506,Register!$J$11:$J$510,0))&amp;""))</f>
        <v/>
      </c>
      <c r="E506" s="25" t="str">
        <f aca="false">IF($H506="","",IF(ISNUMBER(INDEX(Register!$E$11:$E$510,MATCH($H506,Register!$J$11:$J$510,0))),INDEX(Register!$E$11:$E$510,MATCH($H506,Register!$J$11:$J$510,0))&amp;" mo",INDEX(Register!$E$11:$E$510,MATCH($H506,Register!$J$11:$J$510,0))&amp;""))</f>
        <v/>
      </c>
      <c r="F506" s="26" t="str">
        <f aca="false">IF($H506="","",INDEX(Register!$F$11:$F$510,MATCH($H506,Register!$J$11:$J$510,0)))</f>
        <v/>
      </c>
      <c r="G506" s="27" t="str">
        <f aca="false">IF($H506="","",IF(INDEX(Register!$G$11:$G$510,MATCH($H506,Register!$J$11:$J$510,0))="Check details","Check details: "&amp;INDEX(Register!$I$11:$I$510,MATCH($H506,Register!$J$11:$J$510,0)),INDEX(Register!$G$11:$G$510,MATCH($H506,Register!$J$11:$J$510,0))))</f>
        <v/>
      </c>
      <c r="H506" s="28" t="str">
        <f aca="false">IF(500&gt;COUNT(Register!$J$11:$J$510),"",SMALL(Register!$J$11:$J$510,500))</f>
        <v/>
      </c>
    </row>
  </sheetData>
  <sheetProtection sheet="true" formatCells="false" formatColumns="false" formatRows="false"/>
  <mergeCells count="3">
    <mergeCell ref="A2:G2"/>
    <mergeCell ref="A3:G3"/>
    <mergeCell ref="C4:G4"/>
  </mergeCells>
  <dataValidations count="1">
    <dataValidation allowBlank="true" error="Choose Needs attention, All records or Check details." errorStyle="stop" errorTitle="List" operator="between" showDropDown="false" showErrorMessage="true" showInputMessage="false" sqref="B4" type="list">
      <formula1>"Needs attention,All records,Check details"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2026-10-22T01:14:06Z</dcterms:created>
  <dc:creator>openpyxl</dc:creator>
  <dc:description/>
  <dc:language>en-US</dc:language>
  <cp:lastModifiedBy/>
  <dcterms:modified xsi:type="dcterms:W3CDTF">2026-10-22T01:14:07Z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