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ounts" sheetId="1" state="visible" r:id="rId3"/>
    <sheet name="Review" sheetId="2" state="visible" r:id="rId4"/>
  </sheets>
  <definedNames>
    <definedName function="false" hidden="false" localSheetId="0" name="_xlnm.Print_Titles" vbProcedure="false">Accounts!$A:$A,Accounts!$11:$11</definedName>
    <definedName function="false" hidden="false" localSheetId="1" name="_xlnm.Print_Titles" vbProcedure="false">Review!$8:$8</definedName>
    <definedName function="false" hidden="false" name="SettingsOK" vbProcedure="false">AND(LEFT(Accounts!$C$5,2)="OK",LEFT(Accounts!$C$6,2)="OK",LEFT(Accounts!$D$8,2)="OK")</definedName>
    <definedName function="false" hidden="false" name="TargetH" vbProcedure="false">ROUND(Accounts!$D$7*100,0)</definedName>
    <definedName function="false" hidden="false" localSheetId="0" name="_xlnm.Print_Area" vbProcedure="false">OFFSET(Accounts!$A$1,0,0,MAX(11,SUMPRODUCT(MAX((LEN(Accounts!$A$12:$A$311&amp;Accounts!$B$12:$B$311&amp;Accounts!$C$12:$C$311&amp;Accounts!$D$12:$D$311&amp;Accounts!$E$12:$E$311&amp;Accounts!$F$12:$F$311&amp;Accounts!$G$12:$G$311&amp;Accounts!$H$12:$H$311)&gt;0)*ROW(Accounts!$A$12:$A$311)))),19)</definedName>
    <definedName function="false" hidden="false" localSheetId="1" name="_xlnm.Print_Area" vbProcedure="false">OFFSET(Review!$A$1,0,0,8+MAX(1,COUNT(Review!$I$9:$I$308)),8)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<sst xmlns="http://schemas.openxmlformats.org/spreadsheetml/2006/main" count="46" uniqueCount="45">
  <si>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Pool Route Profit Check</t>
  </si>
  <si>
    <t xml:space="preserve">Which pool accounts need a price review? Everything is per MONTH. Type only in the green cells: your three settings, then one row per separately priced account. Blank means not answered (the row shows Check inputs); type 0 where a cost really is zero.</t>
  </si>
  <si>
    <t xml:space="preserve">Margin = amount left ÷ monthly fee (a share of the price, not a markup). Fee to meet target = entered cost ÷ (1 − target), rounded up to the cent: at 30%, a $150 cost needs $214.29, not $195. Labor, vehicle and chemicals are each rounded to the cent. This checks your own estimates; it isn't bookkeeping or a guarantee of profit. Room for 300 accounts; rows typed below the table are flagged.</t>
  </si>
  <si>
    <t xml:space="preserve">Labor cost per hour</t>
  </si>
  <si>
    <t xml:space="preserve">$ per hour: your own pay rate or an employee's hourly cost incl. taxes/benefits. Must be more than 0.</t>
  </si>
  <si>
    <t xml:space="preserve">Vehicle cost per mile</t>
  </si>
  <si>
    <t xml:space="preserve">$ per mile: fuel and vehicle running costs, not labor. 0 = no vehicle cost included.</t>
  </si>
  <si>
    <t xml:space="preserve">Target margin</t>
  </si>
  <si>
    <t xml:space="preserve">Target used:</t>
  </si>
  <si>
    <t xml:space="preserve">Type 20 for 20% (typing 20% also works). 0.05 means 0.05%. At least 0 and below 100.</t>
  </si>
  <si>
    <t xml:space="preserve">Target check</t>
  </si>
  <si>
    <t xml:space="preserve">Check</t>
  </si>
  <si>
    <t xml:space="preserve">Totals</t>
  </si>
  <si>
    <t xml:space="preserve">Customer / site</t>
  </si>
  <si>
    <t xml:space="preserve">Monthly fee</t>
  </si>
  <si>
    <t xml:space="preserve">Visits per month</t>
  </si>
  <si>
    <t xml:space="preserve">Service min per visit</t>
  </si>
  <si>
    <t xml:space="preserve">Drive min per visit (allocated)</t>
  </si>
  <si>
    <t xml:space="preserve">Drive miles per visit (allocated)</t>
  </si>
  <si>
    <t xml:space="preserve">Chemicals per visit</t>
  </si>
  <si>
    <t xml:space="preserve">Other monthly costs</t>
  </si>
  <si>
    <t xml:space="preserve">Monthly hours (calc)</t>
  </si>
  <si>
    <t xml:space="preserve">Monthly labor (calc)</t>
  </si>
  <si>
    <t xml:space="preserve">Monthly vehicle (calc)</t>
  </si>
  <si>
    <t xml:space="preserve">Monthly chemicals (calc)</t>
  </si>
  <si>
    <t xml:space="preserve">Entered monthly cost (calc)</t>
  </si>
  <si>
    <t xml:space="preserve">Amount left (calc)</t>
  </si>
  <si>
    <t xml:space="preserve">Margin (calc)</t>
  </si>
  <si>
    <t xml:space="preserve">Fee to meet target (calc)</t>
  </si>
  <si>
    <t xml:space="preserve">Increase to meet target (calc)</t>
  </si>
  <si>
    <t xml:space="preserve">Status (calc)</t>
  </si>
  <si>
    <t xml:space="preserve">Inputs to check (calc)</t>
  </si>
  <si>
    <t xml:space="preserve">Review order (calc)</t>
  </si>
  <si>
    <t xml:space="preserve">Pool account review</t>
  </si>
  <si>
    <t xml:space="preserve">List to show:</t>
  </si>
  <si>
    <t xml:space="preserve">Needs review</t>
  </si>
  <si>
    <t xml:space="preserve">Pick a list, then File &gt; Print. Excel prints only the filled rows; in other spreadsheet apps, select A1 to the last filled row and print the selection.</t>
  </si>
  <si>
    <t xml:space="preserve">Account</t>
  </si>
  <si>
    <t xml:space="preserve">Entered cost</t>
  </si>
  <si>
    <t xml:space="preserve">Left</t>
  </si>
  <si>
    <t xml:space="preserve">Margin</t>
  </si>
  <si>
    <t xml:space="preserve">Fee to meet target</t>
  </si>
  <si>
    <t xml:space="preserve">Increase</t>
  </si>
  <si>
    <t xml:space="preserve">Status</t>
  </si>
  <si>
    <t xml:space="preserve">(order)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</si>
</sst>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-$&quot;#,##0.00;\$0.00"/>
    <numFmt numFmtId="166" formatCode="0.00"/>
    <numFmt numFmtId="167" formatCode="0.00\%"/>
    <numFmt numFmtId="168" formatCode="0.###"/>
    <numFmt numFmtId="169" formatCode="0.00%"/>
    <numFmt numFmtId="170" formatCode="0.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93447"/>
      <name val="Arial"/>
      <family val="0"/>
      <charset val="1"/>
    </font>
    <font>
      <sz val="9.5"/>
      <color rgb="FF56656D"/>
      <name val="Arial"/>
      <family val="0"/>
      <charset val="1"/>
    </font>
    <font>
      <b val="true"/>
      <sz val="10"/>
      <color rgb="FF1E2A32"/>
      <name val="Arial"/>
      <family val="0"/>
      <charset val="1"/>
    </font>
    <font>
      <b val="true"/>
      <sz val="11"/>
      <color rgb="FF1E2A32"/>
      <name val="Arial"/>
      <family val="0"/>
      <charset val="1"/>
    </font>
    <font>
      <b val="true"/>
      <sz val="9"/>
      <color rgb="FF3F5A44"/>
      <name val="Arial"/>
      <family val="0"/>
      <charset val="1"/>
    </font>
    <font>
      <sz val="9"/>
      <color rgb="FF56656D"/>
      <name val="Arial"/>
      <family val="0"/>
      <charset val="1"/>
    </font>
    <font>
      <b val="true"/>
      <sz val="10"/>
      <color rgb="FF3F5A44"/>
      <name val="Arial"/>
      <family val="0"/>
      <charset val="1"/>
    </font>
    <font>
      <sz val="10"/>
      <color rgb="FF1E2A3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.5"/>
      <color rgb="FF1E2A32"/>
      <name val="Arial"/>
      <family val="0"/>
      <charset val="1"/>
    </font>
    <font>
      <b val="true"/>
      <sz val="9.5"/>
      <color rgb="FF1E2A32"/>
      <name val="Arial"/>
      <family val="0"/>
      <charset val="1"/>
    </font>
    <font>
      <b val="true"/>
      <sz val="16"/>
      <color rgb="FF193447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.5"/>
      <color rgb="FF56656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2EAE1"/>
        <bgColor rgb="FFDCE7DD"/>
      </patternFill>
    </fill>
    <fill>
      <patternFill patternType="solid">
        <fgColor rgb="FF193447"/>
        <bgColor rgb="FF1E2A32"/>
      </patternFill>
    </fill>
    <fill>
      <patternFill patternType="solid">
        <fgColor rgb="FF3F5A44"/>
        <bgColor rgb="FF2B5634"/>
      </patternFill>
    </fill>
    <fill>
      <patternFill patternType="solid">
        <fgColor rgb="FFFFFFFF"/>
        <bgColor rgb="FFE2EA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3BAA6"/>
      </left>
      <right style="thin">
        <color rgb="FFC3BAA6"/>
      </right>
      <top style="thin">
        <color rgb="FFC3BAA6"/>
      </top>
      <bottom style="thin">
        <color rgb="FFC3BA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93447"/>
          <bgColor rgb="FF000000"/>
        </patternFill>
      </fill>
    </dxf>
    <dxf>
      <fill>
        <patternFill patternType="solid">
          <fgColor rgb="FFE2EAE1"/>
          <bgColor rgb="FF000000"/>
        </patternFill>
      </fill>
    </dxf>
    <dxf>
      <fill>
        <patternFill patternType="solid">
          <fgColor rgb="FF1E2A3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F5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6656D"/>
          <bgColor rgb="FF000000"/>
        </patternFill>
      </fill>
    </dxf>
    <dxf>
      <font>
        <name val="Arial"/>
        <charset val="1"/>
        <family val="0"/>
        <b val="1"/>
        <color rgb="FF84291D"/>
      </font>
      <fill>
        <patternFill>
          <bgColor rgb="FFF3D8D2"/>
        </patternFill>
      </fill>
    </dxf>
    <dxf>
      <font>
        <name val="Arial"/>
        <charset val="1"/>
        <family val="0"/>
        <b val="1"/>
        <color rgb="FF6A4700"/>
      </font>
      <fill>
        <patternFill>
          <bgColor rgb="FFF7E6C3"/>
        </patternFill>
      </fill>
    </dxf>
    <dxf>
      <font>
        <name val="Arial"/>
        <charset val="1"/>
        <family val="0"/>
        <b val="1"/>
        <color rgb="FF2B5634"/>
      </font>
      <fill>
        <patternFill>
          <bgColor rgb="FFDCE7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BAA6"/>
      <rgbColor rgb="FF808080"/>
      <rgbColor rgb="FF9999FF"/>
      <rgbColor rgb="FF6A4700"/>
      <rgbColor rgb="FFF7E6C3"/>
      <rgbColor rgb="FFE2EA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7DD"/>
      <rgbColor rgb="FFFFFF99"/>
      <rgbColor rgb="FF99CCFF"/>
      <rgbColor rgb="FFFF99CC"/>
      <rgbColor rgb="FFCC99FF"/>
      <rgbColor rgb="FFF3D8D2"/>
      <rgbColor rgb="FF3366FF"/>
      <rgbColor rgb="FF33CCCC"/>
      <rgbColor rgb="FF99CC00"/>
      <rgbColor rgb="FFFFCC00"/>
      <rgbColor rgb="FFFF9900"/>
      <rgbColor rgb="FFFF6600"/>
      <rgbColor rgb="FF56656D"/>
      <rgbColor rgb="FF969696"/>
      <rgbColor rgb="FF193447"/>
      <rgbColor rgb="FF339966"/>
      <rgbColor rgb="FF003300"/>
      <rgbColor rgb="FF2B5634"/>
      <rgbColor rgb="FF84291D"/>
      <rgbColor rgb="FF993366"/>
      <rgbColor rgb="FF3F5A44"/>
      <rgbColor rgb="FF1E2A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Accounts" displayName="tblAccounts" ref="A11:T311" headerRowCount="1" totalsRowCount="0" totalsRowShown="0">
  <autoFilter ref="A11:T311"/>
  <tableColumns count="20">
    <tableColumn id="1" name="Customer / site"/>
    <tableColumn id="2" name="Monthly fee"/>
    <tableColumn id="3" name="Visits per month"/>
    <tableColumn id="4" name="Service min per visit"/>
    <tableColumn id="5" name="Drive min per visit (allocated)"/>
    <tableColumn id="6" name="Drive miles per visit (allocated)"/>
    <tableColumn id="7" name="Chemicals per visit"/>
    <tableColumn id="8" name="Other monthly costs"/>
    <tableColumn id="9" name="Monthly hours (calc)"/>
    <tableColumn id="10" name="Monthly labor (calc)"/>
    <tableColumn id="11" name="Monthly vehicle (calc)"/>
    <tableColumn id="12" name="Monthly chemicals (calc)"/>
    <tableColumn id="13" name="Entered monthly cost (calc)"/>
    <tableColumn id="14" name="Amount left (calc)"/>
    <tableColumn id="15" name="Margin (calc)"/>
    <tableColumn id="16" name="Fee to meet target (calc)"/>
    <tableColumn id="17" name="Increase to meet target (calc)"/>
    <tableColumn id="18" name="Status (calc)"/>
    <tableColumn id="19" name="Inputs to check (calc)"/>
    <tableColumn id="20" name="Review order (calc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4" min="3" style="0" width="9"/>
    <col collapsed="false" customWidth="true" hidden="false" outlineLevel="0" max="8" min="5" style="0" width="10"/>
    <col collapsed="false" customWidth="true" hidden="false" outlineLevel="0" max="9" min="9" style="0" width="9"/>
    <col collapsed="false" customWidth="true" hidden="false" outlineLevel="0" max="12" min="10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9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29"/>
    <col collapsed="false" customWidth="true" hidden="false" outlineLevel="0" max="19" min="19" style="0" width="36"/>
    <col collapsed="false" customWidth="true" hidden="false" outlineLevel="0" max="20" min="20" style="0" width="10"/>
  </cols>
  <sheetData>
    <row r="1" customFormat="false" ht="27.75" hidden="false" customHeight="true" outlineLevel="0" collapsed="false">
      <c r="A1" s="1" t="s">
        <v>0</v>
      </c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27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 customFormat="false" ht="15" hidden="false" customHeight="false" outlineLevel="0" collapsed="false">
      <c r="A5" s="3" t="s">
        <v>3</v>
      </c>
      <c r="B5" s="4"/>
      <c r="C5" s="5" t="str">
        <f aca="false">IF(B5="","Missing",IF(NOT(ISNUMBER(B5)),"Fix: number",IF(B5&lt;=0,"Fix: more than 0",IF(ROUND(B5,2)&lt;&gt;B5,"Fix: cents only",IF(B5&gt;9999.99,"Fix: too large","OK")))))</f>
        <v>Missing</v>
      </c>
      <c r="E5" s="6" t="s">
        <v>4</v>
      </c>
      <c r="F5" s="6"/>
      <c r="G5" s="6"/>
      <c r="H5" s="6"/>
      <c r="I5" s="6"/>
      <c r="J5" s="6"/>
      <c r="K5" s="6"/>
      <c r="L5" s="6"/>
    </row>
    <row r="6" customFormat="false" ht="15" hidden="false" customHeight="false" outlineLevel="0" collapsed="false">
      <c r="A6" s="3" t="s">
        <v>5</v>
      </c>
      <c r="B6" s="4"/>
      <c r="C6" s="5" t="str">
        <f aca="false">IF(B6="","Missing",IF(NOT(ISNUMBER(B6)),"Fix: number",IF(B6&lt;0,"Fix: can't be negative",IF(ROUND(B6,2)&lt;&gt;B6,"Fix: cents only",IF(B6&gt;99.99,"Fix: too large",IF(B6=0,"OK (no vehicle cost)","OK"))))))</f>
        <v>Missing</v>
      </c>
      <c r="E6" s="6" t="s">
        <v>6</v>
      </c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3" t="s">
        <v>7</v>
      </c>
      <c r="B7" s="7"/>
      <c r="C7" s="8" t="s">
        <v>8</v>
      </c>
      <c r="D7" s="9" t="str">
        <f aca="true">IF(B7="","",IF(ISNUMBER(B7),IF(LEFT(IFERROR(CELL("format",B7),"G"),1)="P",ROUND(B7*100,10),B7),"?"))</f>
        <v/>
      </c>
      <c r="E7" s="6" t="s">
        <v>9</v>
      </c>
      <c r="F7" s="6"/>
      <c r="G7" s="6"/>
      <c r="H7" s="6"/>
      <c r="I7" s="6"/>
      <c r="J7" s="6"/>
      <c r="K7" s="6"/>
      <c r="L7" s="6"/>
    </row>
    <row r="8" customFormat="false" ht="15" hidden="false" customHeight="false" outlineLevel="0" collapsed="false">
      <c r="C8" s="8" t="s">
        <v>10</v>
      </c>
      <c r="D8" s="5" t="str">
        <f aca="false">IF(B7="","Missing",IF(NOT(ISNUMBER(D7)),"Fix: number",IF(D7&lt;0,"Fix: can't be negative",IF(D7&gt;=100,"Fix: must be below 100%",IF(ROUND(D7,2)&lt;&gt;D7,"Fix: up to 2 decimals",IF(AND(D7&gt;0,D7&lt;1),"OK (less than 1%)",IF(D7=0,"OK (break-even)","OK")))))))</f>
        <v>Missing</v>
      </c>
    </row>
    <row r="9" customFormat="false" ht="15" hidden="false" customHeight="false" outlineLevel="0" collapsed="false">
      <c r="A9" s="3" t="s">
        <v>11</v>
      </c>
      <c r="B9" s="10" t="str">
        <f aca="false">IF(NOT(AND(LEFT($C$5,2)="OK",LEFT($C$6,2)="OK",LEFT($D$8,2)="OK")),"⚠ Fill in all three settings above. No account results until they're complete.",IF(COUNTIF($R$12:$R$311,"Check inputs")+SUMPRODUCT(--(LEN($A$312:$A$5000&amp;$B$312:$B$5000&amp;$C$312:$C$5000&amp;$H$312:$H$5000)&gt;0))&gt;0,"⚠ "&amp;IF(COUNTIF($R$12:$R$311,"Check inputs")&gt;0,COUNTIF($R$12:$R$311,"Check inputs")&amp;" account(s) need inputs checked (see Status). Their results are withheld and they aren't in the totals. ","")&amp;IF(SUMPRODUCT(--(LEN($A$312:$A$5000&amp;$B$312:$B$5000&amp;$C$312:$C$5000&amp;$H$312:$H$5000)&gt;0))&gt;0,SUMPRODUCT(--(LEN($A$312:$A$5000&amp;$B$312:$B$5000&amp;$C$312:$C$5000&amp;$H$312:$H$5000)&gt;0))&amp;" row(s) below the table (after row 311) aren't checked. Move them into the table.",""),IF(SUMPRODUCT(--(LEN($R$12:$R$311)&gt;0))=0,"No accounts yet. Start in row 12.","All "&amp;(SUMPRODUCT(--(LEN($R$12:$R$311)&gt;0))-COUNTIF($R$12:$R$311,"Check inputs"))&amp;" account(s) have complete inputs.")))</f>
        <v>⚠ Fill in all three settings above. No account results until they're complete.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customFormat="false" ht="15" hidden="false" customHeight="false" outlineLevel="0" collapsed="false">
      <c r="A10" s="3" t="s">
        <v>12</v>
      </c>
      <c r="B10" s="11" t="str">
        <f aca="false">IF((SUMPRODUCT(--(LEN($R$12:$R$311)&gt;0))-COUNTIF($R$12:$R$311,"Check inputs"))&lt;=0,"",(SUMPRODUCT(--(LEN($R$12:$R$311)&gt;0))-COUNTIF($R$12:$R$311,"Check inputs"))&amp;" complete account(s): "&amp;TEXT(SUMPRODUCT((LEN($R$12:$R$311)&gt;0)*($R$12:$R$311&lt;&gt;"Check inputs"),$B$12:$B$311),"$#,##0.00")&amp;" in fees, "&amp;TEXT(ROUND(SUMPRODUCT((LEN($R$12:$R$311)&gt;0)*($R$12:$R$311&lt;&gt;"Check inputs"),$N$12:$N$311),2),"$#,##0.00;-$#,##0.00")&amp;" left"&amp;IF(SUMPRODUCT((LEN($R$12:$R$311)&gt;0)*($R$12:$R$311&lt;&gt;"Check inputs"),$B$12:$B$311)&gt;0,", "&amp;TEXT(INT(ROUND(SUMPRODUCT((LEN($R$12:$R$311)&gt;0)*($R$12:$R$311&lt;&gt;"Check inputs"),$N$12:$N$311)/SUMPRODUCT((LEN($R$12:$R$311)&gt;0)*($R$12:$R$311&lt;&gt;"Check inputs"),$B$12:$B$311)*10000,6))/10000,"0.00%")&amp;" combined margin (total left ÷ total fees)","")&amp;IF(COUNTIF($R$12:$R$311,"Check inputs")&gt;0,". "&amp;COUNTIF($R$12:$R$311,"Check inputs")&amp;" account(s) with missing inputs not included.",".")&amp;" "&amp;COUNTIF($R$12:$R$311,"No fee entered")&amp;" no fee · "&amp;COUNTIF($R$12:$R$311,"Losing money on entered costs")&amp;" losing money · "&amp;COUNTIF($R$12:$R$311,"Below your target")&amp;" below target · "&amp;COUNTIF($R$12:$R$311,"Meets your target")&amp;" meet target.")</f>
        <v/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customFormat="false" ht="43.5" hidden="false" customHeight="true" outlineLevel="0" collapsed="false">
      <c r="A11" s="12" t="s">
        <v>13</v>
      </c>
      <c r="B11" s="12" t="s">
        <v>14</v>
      </c>
      <c r="C11" s="12" t="s">
        <v>15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3" t="s">
        <v>21</v>
      </c>
      <c r="J11" s="13" t="s">
        <v>22</v>
      </c>
      <c r="K11" s="13" t="s">
        <v>23</v>
      </c>
      <c r="L11" s="13" t="s">
        <v>24</v>
      </c>
      <c r="M11" s="13" t="s">
        <v>25</v>
      </c>
      <c r="N11" s="13" t="s">
        <v>26</v>
      </c>
      <c r="O11" s="13" t="s">
        <v>27</v>
      </c>
      <c r="P11" s="13" t="s">
        <v>28</v>
      </c>
      <c r="Q11" s="13" t="s">
        <v>29</v>
      </c>
      <c r="R11" s="13" t="s">
        <v>30</v>
      </c>
      <c r="S11" s="13" t="s">
        <v>31</v>
      </c>
      <c r="T11" s="13" t="s">
        <v>32</v>
      </c>
    </row>
    <row r="12" customFormat="false" ht="15" hidden="false" customHeight="false" outlineLevel="0" collapsed="false">
      <c r="A12" s="14"/>
      <c r="B12" s="15"/>
      <c r="C12" s="16"/>
      <c r="D12" s="14"/>
      <c r="E12" s="14"/>
      <c r="F12" s="14"/>
      <c r="G12" s="15"/>
      <c r="H12" s="15"/>
      <c r="I12" s="17" t="str">
        <f aca="false">IF(OR(AND($A12="",$B12="",$C12="",$D12="",$E12="",$F12="",$G12="",$H12=""),NOT($S12="")),"",ROUND($C12*($D12+$E12)/60,4))</f>
        <v/>
      </c>
      <c r="J12" s="18" t="str">
        <f aca="false">IF(OR(AND($A12="",$B12="",$C12="",$D12="",$E12="",$F12="",$G12="",$H12=""),NOT($S12="")),"",ROUND(ROUND($C12*($D12+$E12)/60*$B$5,9),2))</f>
        <v/>
      </c>
      <c r="K12" s="18" t="str">
        <f aca="false">IF(OR(AND($A12="",$B12="",$C12="",$D12="",$E12="",$F12="",$G12="",$H12=""),NOT($S12="")),"",ROUND(ROUND($C12*$F12*$B$6,9),2))</f>
        <v/>
      </c>
      <c r="L12" s="18" t="str">
        <f aca="false">IF(OR(AND($A12="",$B12="",$C12="",$D12="",$E12="",$F12="",$G12="",$H12=""),NOT($S12="")),"",ROUND(ROUND($C12*$G12,9),2))</f>
        <v/>
      </c>
      <c r="M12" s="19" t="str">
        <f aca="false">IF(OR(AND($A12="",$B12="",$C12="",$D12="",$E12="",$F12="",$G12="",$H12=""),NOT($S12="")),"",ROUND($J12+$K12+$L12+$H12,2))</f>
        <v/>
      </c>
      <c r="N12" s="19" t="str">
        <f aca="false">IF(OR(AND($A12="",$B12="",$C12="",$D12="",$E12="",$F12="",$G12="",$H12=""),NOT($S12="")),"",ROUND($B12-$M12,2))</f>
        <v/>
      </c>
      <c r="O12" s="20" t="str">
        <f aca="false">IF(OR(AND($A12="",$B12="",$C12="",$D12="",$E12="",$F12="",$G12="",$H12=""),NOT($S12="")),"",IF($B12=0,"n/a",INT(ROUND($N12/$B12*10000,6))/10000))</f>
        <v/>
      </c>
      <c r="P12" s="18" t="str">
        <f aca="false">IF(OR(AND($A12="",$B12="",$C12="",$D12="",$E12="",$F12="",$G12="",$H12=""),NOT($S12="")),"",ROUNDUP(ROUND($M12*10000/(10000-TargetH),9),2))</f>
        <v/>
      </c>
      <c r="Q12" s="18" t="str">
        <f aca="false">IF(OR(AND($A12="",$B12="",$C12="",$D12="",$E12="",$F12="",$G12="",$H12=""),NOT($S12="")),"",MAX(0,ROUND($P12-$B12,2)))</f>
        <v/>
      </c>
      <c r="R12" s="21" t="str">
        <f aca="false">IF(AND($A12="",$B12="",$C12="",$D12="",$E12="",$F12="",$G12="",$H12=""),"",IF(NOT($S12=""),"Check inputs",IF($B12=0,"No fee entered",IF($N12&lt;0,"Losing money on entered costs",IF(ROUND($N12*100,0)*10000&lt;TargetH*ROUND($B12*100,0),"Below your target","Meets your target")))))</f>
        <v/>
      </c>
      <c r="S12" s="22" t="str">
        <f aca="false">IF(AND($A12="",$B12="",$C12="",$D12="",$E12="",$F12="",$G12="",$H12=""),"",TRIM(IF($A12="","Customer/site label is missing. ","")&amp;IF($B12="","Monthly fee is missing. ",IF(NOT(ISNUMBER($B12)),"Monthly fee must be a number. ",IF($B12&lt;0,"Monthly fee can't be negative. ",IF(ROUND($B12,2)&lt;&gt;$B12,"Monthly fee: use up to 2 decimal places. ",IF($B12&gt;99999.99,"Monthly fee: use 99,999.99 or less. ","")))))&amp;IF($C12="","Visits per month is missing. ",IF(NOT(ISNUMBER($C12)),"Visits per month must be a number. ",IF($C12&lt;0,"Visits per month can't be negative. ",IF(ROUND($C12,3)&lt;&gt;$C12,"Visits per month: use up to 3 decimal places. ",IF($C12=0,"Visits per month must be more than 0. ",IF($C12&gt;31,"Visits per month: use 31 or less. ",""))))))&amp;IF($D12="","Service minutes per visit is missing. ",IF(NOT(ISNUMBER($D12)),"Service minutes per visit must be a number. ",IF($D12&lt;0,"Service minutes per visit can't be negative. ",IF(ROUND($D12,2)&lt;&gt;$D12,"Service minutes per visit: use up to 2 decimal places. ",IF($D12=0,"Service minutes per visit must be more than 0. ",IF($D12&gt;600,"Service minutes per visit: use 600 or less. ",""))))))&amp;IF($E12="","Drive minutes per visit is missing. ",IF(NOT(ISNUMBER($E12)),"Drive minutes per visit must be a number. ",IF($E12&lt;0,"Drive minutes per visit can't be negative. ",IF(ROUND($E12,2)&lt;&gt;$E12,"Drive minutes per visit: use up to 2 decimal places. ",IF($E12&gt;600,"Drive minutes per visit: use 600 or less. ","")))))&amp;IF($F12="","Drive miles per visit is missing. ",IF(NOT(ISNUMBER($F12)),"Drive miles per visit must be a number. ",IF($F12&lt;0,"Drive miles per visit can't be negative. ",IF(ROUND($F12,2)&lt;&gt;$F12,"Drive miles per visit: use up to 2 decimal places. ",IF($F12&gt;1000,"Drive miles per visit: use 1,000 or less. ","")))))&amp;IF($G12="","Chemicals per visit is missing. ",IF(NOT(ISNUMBER($G12)),"Chemicals per visit must be a number. ",IF($G12&lt;0,"Chemicals per visit can't be negative. ",IF(ROUND($G12,2)&lt;&gt;$G12,"Chemicals per visit: use up to 2 decimal places. ",IF($G12&gt;9999.99,"Chemicals per visit: use 9,999.99 or less. ","")))))&amp;IF($H12="","Other monthly costs is missing. ",IF(NOT(ISNUMBER($H12)),"Other monthly costs must be a number. ",IF($H12&lt;0,"Other monthly costs can't be negative. ",IF(ROUND($H12,2)&lt;&gt;$H12,"Other monthly costs: use up to 2 decimal places. ",IF($H12&gt;99999.99,"Other monthly costs: use 99,999.99 or less. ","")))))&amp;IF(SettingsOK,"","Settings incomplete.")))</f>
        <v/>
      </c>
      <c r="T12" s="23" t="str">
        <f aca="false">IF(AND($A12="",$B12="",$C12="",$D12="",$E12="",$F12="",$G12="",$H12=""),"",IF(Review!$B$5="Check inputs",IF($R12="Check inputs",ROW(),""),IF($R12="Check inputs",IF(Review!$B$5="All accounts",-2000000000000000+ROW(),""),IF(AND(Review!$B$5="Needs review",$R12="Meets your target"),"",IF($R12="No fee entered",-1000000000000000+ROW(),$N12/$B12+ROW()/1000000000)))))</f>
        <v/>
      </c>
    </row>
    <row r="13" customFormat="false" ht="15" hidden="false" customHeight="false" outlineLevel="0" collapsed="false">
      <c r="A13" s="14"/>
      <c r="B13" s="15"/>
      <c r="C13" s="16"/>
      <c r="D13" s="14"/>
      <c r="E13" s="14"/>
      <c r="F13" s="14"/>
      <c r="G13" s="15"/>
      <c r="H13" s="15"/>
      <c r="I13" s="17" t="str">
        <f aca="false">IF(OR(AND($A13="",$B13="",$C13="",$D13="",$E13="",$F13="",$G13="",$H13=""),NOT($S13="")),"",ROUND($C13*($D13+$E13)/60,4))</f>
        <v/>
      </c>
      <c r="J13" s="18" t="str">
        <f aca="false">IF(OR(AND($A13="",$B13="",$C13="",$D13="",$E13="",$F13="",$G13="",$H13=""),NOT($S13="")),"",ROUND(ROUND($C13*($D13+$E13)/60*$B$5,9),2))</f>
        <v/>
      </c>
      <c r="K13" s="18" t="str">
        <f aca="false">IF(OR(AND($A13="",$B13="",$C13="",$D13="",$E13="",$F13="",$G13="",$H13=""),NOT($S13="")),"",ROUND(ROUND($C13*$F13*$B$6,9),2))</f>
        <v/>
      </c>
      <c r="L13" s="18" t="str">
        <f aca="false">IF(OR(AND($A13="",$B13="",$C13="",$D13="",$E13="",$F13="",$G13="",$H13=""),NOT($S13="")),"",ROUND(ROUND($C13*$G13,9),2))</f>
        <v/>
      </c>
      <c r="M13" s="19" t="str">
        <f aca="false">IF(OR(AND($A13="",$B13="",$C13="",$D13="",$E13="",$F13="",$G13="",$H13=""),NOT($S13="")),"",ROUND($J13+$K13+$L13+$H13,2))</f>
        <v/>
      </c>
      <c r="N13" s="19" t="str">
        <f aca="false">IF(OR(AND($A13="",$B13="",$C13="",$D13="",$E13="",$F13="",$G13="",$H13=""),NOT($S13="")),"",ROUND($B13-$M13,2))</f>
        <v/>
      </c>
      <c r="O13" s="20" t="str">
        <f aca="false">IF(OR(AND($A13="",$B13="",$C13="",$D13="",$E13="",$F13="",$G13="",$H13=""),NOT($S13="")),"",IF($B13=0,"n/a",INT(ROUND($N13/$B13*10000,6))/10000))</f>
        <v/>
      </c>
      <c r="P13" s="18" t="str">
        <f aca="false">IF(OR(AND($A13="",$B13="",$C13="",$D13="",$E13="",$F13="",$G13="",$H13=""),NOT($S13="")),"",ROUNDUP(ROUND($M13*10000/(10000-TargetH),9),2))</f>
        <v/>
      </c>
      <c r="Q13" s="18" t="str">
        <f aca="false">IF(OR(AND($A13="",$B13="",$C13="",$D13="",$E13="",$F13="",$G13="",$H13=""),NOT($S13="")),"",MAX(0,ROUND($P13-$B13,2)))</f>
        <v/>
      </c>
      <c r="R13" s="21" t="str">
        <f aca="false">IF(AND($A13="",$B13="",$C13="",$D13="",$E13="",$F13="",$G13="",$H13=""),"",IF(NOT($S13=""),"Check inputs",IF($B13=0,"No fee entered",IF($N13&lt;0,"Losing money on entered costs",IF(ROUND($N13*100,0)*10000&lt;TargetH*ROUND($B13*100,0),"Below your target","Meets your target")))))</f>
        <v/>
      </c>
      <c r="S13" s="22" t="str">
        <f aca="false">IF(AND($A13="",$B13="",$C13="",$D13="",$E13="",$F13="",$G13="",$H13=""),"",TRIM(IF($A13="","Customer/site label is missing. ","")&amp;IF($B13="","Monthly fee is missing. ",IF(NOT(ISNUMBER($B13)),"Monthly fee must be a number. ",IF($B13&lt;0,"Monthly fee can't be negative. ",IF(ROUND($B13,2)&lt;&gt;$B13,"Monthly fee: use up to 2 decimal places. ",IF($B13&gt;99999.99,"Monthly fee: use 99,999.99 or less. ","")))))&amp;IF($C13="","Visits per month is missing. ",IF(NOT(ISNUMBER($C13)),"Visits per month must be a number. ",IF($C13&lt;0,"Visits per month can't be negative. ",IF(ROUND($C13,3)&lt;&gt;$C13,"Visits per month: use up to 3 decimal places. ",IF($C13=0,"Visits per month must be more than 0. ",IF($C13&gt;31,"Visits per month: use 31 or less. ",""))))))&amp;IF($D13="","Service minutes per visit is missing. ",IF(NOT(ISNUMBER($D13)),"Service minutes per visit must be a number. ",IF($D13&lt;0,"Service minutes per visit can't be negative. ",IF(ROUND($D13,2)&lt;&gt;$D13,"Service minutes per visit: use up to 2 decimal places. ",IF($D13=0,"Service minutes per visit must be more than 0. ",IF($D13&gt;600,"Service minutes per visit: use 600 or less. ",""))))))&amp;IF($E13="","Drive minutes per visit is missing. ",IF(NOT(ISNUMBER($E13)),"Drive minutes per visit must be a number. ",IF($E13&lt;0,"Drive minutes per visit can't be negative. ",IF(ROUND($E13,2)&lt;&gt;$E13,"Drive minutes per visit: use up to 2 decimal places. ",IF($E13&gt;600,"Drive minutes per visit: use 600 or less. ","")))))&amp;IF($F13="","Drive miles per visit is missing. ",IF(NOT(ISNUMBER($F13)),"Drive miles per visit must be a number. ",IF($F13&lt;0,"Drive miles per visit can't be negative. ",IF(ROUND($F13,2)&lt;&gt;$F13,"Drive miles per visit: use up to 2 decimal places. ",IF($F13&gt;1000,"Drive miles per visit: use 1,000 or less. ","")))))&amp;IF($G13="","Chemicals per visit is missing. ",IF(NOT(ISNUMBER($G13)),"Chemicals per visit must be a number. ",IF($G13&lt;0,"Chemicals per visit can't be negative. ",IF(ROUND($G13,2)&lt;&gt;$G13,"Chemicals per visit: use up to 2 decimal places. ",IF($G13&gt;9999.99,"Chemicals per visit: use 9,999.99 or less. ","")))))&amp;IF($H13="","Other monthly costs is missing. ",IF(NOT(ISNUMBER($H13)),"Other monthly costs must be a number. ",IF($H13&lt;0,"Other monthly costs can't be negative. ",IF(ROUND($H13,2)&lt;&gt;$H13,"Other monthly costs: use up to 2 decimal places. ",IF($H13&gt;99999.99,"Other monthly costs: use 99,999.99 or less. ","")))))&amp;IF(SettingsOK,"","Settings incomplete.")))</f>
        <v/>
      </c>
      <c r="T13" s="23" t="str">
        <f aca="false">IF(AND($A13="",$B13="",$C13="",$D13="",$E13="",$F13="",$G13="",$H13=""),"",IF(Review!$B$5="Check inputs",IF($R13="Check inputs",ROW(),""),IF($R13="Check inputs",IF(Review!$B$5="All accounts",-2000000000000000+ROW(),""),IF(AND(Review!$B$5="Needs review",$R13="Meets your target"),"",IF($R13="No fee entered",-1000000000000000+ROW(),$N13/$B13+ROW()/1000000000)))))</f>
        <v/>
      </c>
    </row>
    <row r="14" customFormat="false" ht="15" hidden="false" customHeight="false" outlineLevel="0" collapsed="false">
      <c r="A14" s="14"/>
      <c r="B14" s="15"/>
      <c r="C14" s="16"/>
      <c r="D14" s="14"/>
      <c r="E14" s="14"/>
      <c r="F14" s="14"/>
      <c r="G14" s="15"/>
      <c r="H14" s="15"/>
      <c r="I14" s="17" t="str">
        <f aca="false">IF(OR(AND($A14="",$B14="",$C14="",$D14="",$E14="",$F14="",$G14="",$H14=""),NOT($S14="")),"",ROUND($C14*($D14+$E14)/60,4))</f>
        <v/>
      </c>
      <c r="J14" s="18" t="str">
        <f aca="false">IF(OR(AND($A14="",$B14="",$C14="",$D14="",$E14="",$F14="",$G14="",$H14=""),NOT($S14="")),"",ROUND(ROUND($C14*($D14+$E14)/60*$B$5,9),2))</f>
        <v/>
      </c>
      <c r="K14" s="18" t="str">
        <f aca="false">IF(OR(AND($A14="",$B14="",$C14="",$D14="",$E14="",$F14="",$G14="",$H14=""),NOT($S14="")),"",ROUND(ROUND($C14*$F14*$B$6,9),2))</f>
        <v/>
      </c>
      <c r="L14" s="18" t="str">
        <f aca="false">IF(OR(AND($A14="",$B14="",$C14="",$D14="",$E14="",$F14="",$G14="",$H14=""),NOT($S14="")),"",ROUND(ROUND($C14*$G14,9),2))</f>
        <v/>
      </c>
      <c r="M14" s="19" t="str">
        <f aca="false">IF(OR(AND($A14="",$B14="",$C14="",$D14="",$E14="",$F14="",$G14="",$H14=""),NOT($S14="")),"",ROUND($J14+$K14+$L14+$H14,2))</f>
        <v/>
      </c>
      <c r="N14" s="19" t="str">
        <f aca="false">IF(OR(AND($A14="",$B14="",$C14="",$D14="",$E14="",$F14="",$G14="",$H14=""),NOT($S14="")),"",ROUND($B14-$M14,2))</f>
        <v/>
      </c>
      <c r="O14" s="20" t="str">
        <f aca="false">IF(OR(AND($A14="",$B14="",$C14="",$D14="",$E14="",$F14="",$G14="",$H14=""),NOT($S14="")),"",IF($B14=0,"n/a",INT(ROUND($N14/$B14*10000,6))/10000))</f>
        <v/>
      </c>
      <c r="P14" s="18" t="str">
        <f aca="false">IF(OR(AND($A14="",$B14="",$C14="",$D14="",$E14="",$F14="",$G14="",$H14=""),NOT($S14="")),"",ROUNDUP(ROUND($M14*10000/(10000-TargetH),9),2))</f>
        <v/>
      </c>
      <c r="Q14" s="18" t="str">
        <f aca="false">IF(OR(AND($A14="",$B14="",$C14="",$D14="",$E14="",$F14="",$G14="",$H14=""),NOT($S14="")),"",MAX(0,ROUND($P14-$B14,2)))</f>
        <v/>
      </c>
      <c r="R14" s="21" t="str">
        <f aca="false">IF(AND($A14="",$B14="",$C14="",$D14="",$E14="",$F14="",$G14="",$H14=""),"",IF(NOT($S14=""),"Check inputs",IF($B14=0,"No fee entered",IF($N14&lt;0,"Losing money on entered costs",IF(ROUND($N14*100,0)*10000&lt;TargetH*ROUND($B14*100,0),"Below your target","Meets your target")))))</f>
        <v/>
      </c>
      <c r="S14" s="22" t="str">
        <f aca="false">IF(AND($A14="",$B14="",$C14="",$D14="",$E14="",$F14="",$G14="",$H14=""),"",TRIM(IF($A14="","Customer/site label is missing. ","")&amp;IF($B14="","Monthly fee is missing. ",IF(NOT(ISNUMBER($B14)),"Monthly fee must be a number. ",IF($B14&lt;0,"Monthly fee can't be negative. ",IF(ROUND($B14,2)&lt;&gt;$B14,"Monthly fee: use up to 2 decimal places. ",IF($B14&gt;99999.99,"Monthly fee: use 99,999.99 or less. ","")))))&amp;IF($C14="","Visits per month is missing. ",IF(NOT(ISNUMBER($C14)),"Visits per month must be a number. ",IF($C14&lt;0,"Visits per month can't be negative. ",IF(ROUND($C14,3)&lt;&gt;$C14,"Visits per month: use up to 3 decimal places. ",IF($C14=0,"Visits per month must be more than 0. ",IF($C14&gt;31,"Visits per month: use 31 or less. ",""))))))&amp;IF($D14="","Service minutes per visit is missing. ",IF(NOT(ISNUMBER($D14)),"Service minutes per visit must be a number. ",IF($D14&lt;0,"Service minutes per visit can't be negative. ",IF(ROUND($D14,2)&lt;&gt;$D14,"Service minutes per visit: use up to 2 decimal places. ",IF($D14=0,"Service minutes per visit must be more than 0. ",IF($D14&gt;600,"Service minutes per visit: use 600 or less. ",""))))))&amp;IF($E14="","Drive minutes per visit is missing. ",IF(NOT(ISNUMBER($E14)),"Drive minutes per visit must be a number. ",IF($E14&lt;0,"Drive minutes per visit can't be negative. ",IF(ROUND($E14,2)&lt;&gt;$E14,"Drive minutes per visit: use up to 2 decimal places. ",IF($E14&gt;600,"Drive minutes per visit: use 600 or less. ","")))))&amp;IF($F14="","Drive miles per visit is missing. ",IF(NOT(ISNUMBER($F14)),"Drive miles per visit must be a number. ",IF($F14&lt;0,"Drive miles per visit can't be negative. ",IF(ROUND($F14,2)&lt;&gt;$F14,"Drive miles per visit: use up to 2 decimal places. ",IF($F14&gt;1000,"Drive miles per visit: use 1,000 or less. ","")))))&amp;IF($G14="","Chemicals per visit is missing. ",IF(NOT(ISNUMBER($G14)),"Chemicals per visit must be a number. ",IF($G14&lt;0,"Chemicals per visit can't be negative. ",IF(ROUND($G14,2)&lt;&gt;$G14,"Chemicals per visit: use up to 2 decimal places. ",IF($G14&gt;9999.99,"Chemicals per visit: use 9,999.99 or less. ","")))))&amp;IF($H14="","Other monthly costs is missing. ",IF(NOT(ISNUMBER($H14)),"Other monthly costs must be a number. ",IF($H14&lt;0,"Other monthly costs can't be negative. ",IF(ROUND($H14,2)&lt;&gt;$H14,"Other monthly costs: use up to 2 decimal places. ",IF($H14&gt;99999.99,"Other monthly costs: use 99,999.99 or less. ","")))))&amp;IF(SettingsOK,"","Settings incomplete.")))</f>
        <v/>
      </c>
      <c r="T14" s="23" t="str">
        <f aca="false">IF(AND($A14="",$B14="",$C14="",$D14="",$E14="",$F14="",$G14="",$H14=""),"",IF(Review!$B$5="Check inputs",IF($R14="Check inputs",ROW(),""),IF($R14="Check inputs",IF(Review!$B$5="All accounts",-2000000000000000+ROW(),""),IF(AND(Review!$B$5="Needs review",$R14="Meets your target"),"",IF($R14="No fee entered",-1000000000000000+ROW(),$N14/$B14+ROW()/1000000000)))))</f>
        <v/>
      </c>
    </row>
    <row r="15" customFormat="false" ht="15" hidden="false" customHeight="false" outlineLevel="0" collapsed="false">
      <c r="A15" s="14"/>
      <c r="B15" s="15"/>
      <c r="C15" s="16"/>
      <c r="D15" s="14"/>
      <c r="E15" s="14"/>
      <c r="F15" s="14"/>
      <c r="G15" s="15"/>
      <c r="H15" s="15"/>
      <c r="I15" s="17" t="str">
        <f aca="false">IF(OR(AND($A15="",$B15="",$C15="",$D15="",$E15="",$F15="",$G15="",$H15=""),NOT($S15="")),"",ROUND($C15*($D15+$E15)/60,4))</f>
        <v/>
      </c>
      <c r="J15" s="18" t="str">
        <f aca="false">IF(OR(AND($A15="",$B15="",$C15="",$D15="",$E15="",$F15="",$G15="",$H15=""),NOT($S15="")),"",ROUND(ROUND($C15*($D15+$E15)/60*$B$5,9),2))</f>
        <v/>
      </c>
      <c r="K15" s="18" t="str">
        <f aca="false">IF(OR(AND($A15="",$B15="",$C15="",$D15="",$E15="",$F15="",$G15="",$H15=""),NOT($S15="")),"",ROUND(ROUND($C15*$F15*$B$6,9),2))</f>
        <v/>
      </c>
      <c r="L15" s="18" t="str">
        <f aca="false">IF(OR(AND($A15="",$B15="",$C15="",$D15="",$E15="",$F15="",$G15="",$H15=""),NOT($S15="")),"",ROUND(ROUND($C15*$G15,9),2))</f>
        <v/>
      </c>
      <c r="M15" s="19" t="str">
        <f aca="false">IF(OR(AND($A15="",$B15="",$C15="",$D15="",$E15="",$F15="",$G15="",$H15=""),NOT($S15="")),"",ROUND($J15+$K15+$L15+$H15,2))</f>
        <v/>
      </c>
      <c r="N15" s="19" t="str">
        <f aca="false">IF(OR(AND($A15="",$B15="",$C15="",$D15="",$E15="",$F15="",$G15="",$H15=""),NOT($S15="")),"",ROUND($B15-$M15,2))</f>
        <v/>
      </c>
      <c r="O15" s="20" t="str">
        <f aca="false">IF(OR(AND($A15="",$B15="",$C15="",$D15="",$E15="",$F15="",$G15="",$H15=""),NOT($S15="")),"",IF($B15=0,"n/a",INT(ROUND($N15/$B15*10000,6))/10000))</f>
        <v/>
      </c>
      <c r="P15" s="18" t="str">
        <f aca="false">IF(OR(AND($A15="",$B15="",$C15="",$D15="",$E15="",$F15="",$G15="",$H15=""),NOT($S15="")),"",ROUNDUP(ROUND($M15*10000/(10000-TargetH),9),2))</f>
        <v/>
      </c>
      <c r="Q15" s="18" t="str">
        <f aca="false">IF(OR(AND($A15="",$B15="",$C15="",$D15="",$E15="",$F15="",$G15="",$H15=""),NOT($S15="")),"",MAX(0,ROUND($P15-$B15,2)))</f>
        <v/>
      </c>
      <c r="R15" s="21" t="str">
        <f aca="false">IF(AND($A15="",$B15="",$C15="",$D15="",$E15="",$F15="",$G15="",$H15=""),"",IF(NOT($S15=""),"Check inputs",IF($B15=0,"No fee entered",IF($N15&lt;0,"Losing money on entered costs",IF(ROUND($N15*100,0)*10000&lt;TargetH*ROUND($B15*100,0),"Below your target","Meets your target")))))</f>
        <v/>
      </c>
      <c r="S15" s="22" t="str">
        <f aca="false">IF(AND($A15="",$B15="",$C15="",$D15="",$E15="",$F15="",$G15="",$H15=""),"",TRIM(IF($A15="","Customer/site label is missing. ","")&amp;IF($B15="","Monthly fee is missing. ",IF(NOT(ISNUMBER($B15)),"Monthly fee must be a number. ",IF($B15&lt;0,"Monthly fee can't be negative. ",IF(ROUND($B15,2)&lt;&gt;$B15,"Monthly fee: use up to 2 decimal places. ",IF($B15&gt;99999.99,"Monthly fee: use 99,999.99 or less. ","")))))&amp;IF($C15="","Visits per month is missing. ",IF(NOT(ISNUMBER($C15)),"Visits per month must be a number. ",IF($C15&lt;0,"Visits per month can't be negative. ",IF(ROUND($C15,3)&lt;&gt;$C15,"Visits per month: use up to 3 decimal places. ",IF($C15=0,"Visits per month must be more than 0. ",IF($C15&gt;31,"Visits per month: use 31 or less. ",""))))))&amp;IF($D15="","Service minutes per visit is missing. ",IF(NOT(ISNUMBER($D15)),"Service minutes per visit must be a number. ",IF($D15&lt;0,"Service minutes per visit can't be negative. ",IF(ROUND($D15,2)&lt;&gt;$D15,"Service minutes per visit: use up to 2 decimal places. ",IF($D15=0,"Service minutes per visit must be more than 0. ",IF($D15&gt;600,"Service minutes per visit: use 600 or less. ",""))))))&amp;IF($E15="","Drive minutes per visit is missing. ",IF(NOT(ISNUMBER($E15)),"Drive minutes per visit must be a number. ",IF($E15&lt;0,"Drive minutes per visit can't be negative. ",IF(ROUND($E15,2)&lt;&gt;$E15,"Drive minutes per visit: use up to 2 decimal places. ",IF($E15&gt;600,"Drive minutes per visit: use 600 or less. ","")))))&amp;IF($F15="","Drive miles per visit is missing. ",IF(NOT(ISNUMBER($F15)),"Drive miles per visit must be a number. ",IF($F15&lt;0,"Drive miles per visit can't be negative. ",IF(ROUND($F15,2)&lt;&gt;$F15,"Drive miles per visit: use up to 2 decimal places. ",IF($F15&gt;1000,"Drive miles per visit: use 1,000 or less. ","")))))&amp;IF($G15="","Chemicals per visit is missing. ",IF(NOT(ISNUMBER($G15)),"Chemicals per visit must be a number. ",IF($G15&lt;0,"Chemicals per visit can't be negative. ",IF(ROUND($G15,2)&lt;&gt;$G15,"Chemicals per visit: use up to 2 decimal places. ",IF($G15&gt;9999.99,"Chemicals per visit: use 9,999.99 or less. ","")))))&amp;IF($H15="","Other monthly costs is missing. ",IF(NOT(ISNUMBER($H15)),"Other monthly costs must be a number. ",IF($H15&lt;0,"Other monthly costs can't be negative. ",IF(ROUND($H15,2)&lt;&gt;$H15,"Other monthly costs: use up to 2 decimal places. ",IF($H15&gt;99999.99,"Other monthly costs: use 99,999.99 or less. ","")))))&amp;IF(SettingsOK,"","Settings incomplete.")))</f>
        <v/>
      </c>
      <c r="T15" s="23" t="str">
        <f aca="false">IF(AND($A15="",$B15="",$C15="",$D15="",$E15="",$F15="",$G15="",$H15=""),"",IF(Review!$B$5="Check inputs",IF($R15="Check inputs",ROW(),""),IF($R15="Check inputs",IF(Review!$B$5="All accounts",-2000000000000000+ROW(),""),IF(AND(Review!$B$5="Needs review",$R15="Meets your target"),"",IF($R15="No fee entered",-1000000000000000+ROW(),$N15/$B15+ROW()/1000000000)))))</f>
        <v/>
      </c>
    </row>
    <row r="16" customFormat="false" ht="15" hidden="false" customHeight="false" outlineLevel="0" collapsed="false">
      <c r="A16" s="14"/>
      <c r="B16" s="15"/>
      <c r="C16" s="16"/>
      <c r="D16" s="14"/>
      <c r="E16" s="14"/>
      <c r="F16" s="14"/>
      <c r="G16" s="15"/>
      <c r="H16" s="15"/>
      <c r="I16" s="17" t="str">
        <f aca="false">IF(OR(AND($A16="",$B16="",$C16="",$D16="",$E16="",$F16="",$G16="",$H16=""),NOT($S16="")),"",ROUND($C16*($D16+$E16)/60,4))</f>
        <v/>
      </c>
      <c r="J16" s="18" t="str">
        <f aca="false">IF(OR(AND($A16="",$B16="",$C16="",$D16="",$E16="",$F16="",$G16="",$H16=""),NOT($S16="")),"",ROUND(ROUND($C16*($D16+$E16)/60*$B$5,9),2))</f>
        <v/>
      </c>
      <c r="K16" s="18" t="str">
        <f aca="false">IF(OR(AND($A16="",$B16="",$C16="",$D16="",$E16="",$F16="",$G16="",$H16=""),NOT($S16="")),"",ROUND(ROUND($C16*$F16*$B$6,9),2))</f>
        <v/>
      </c>
      <c r="L16" s="18" t="str">
        <f aca="false">IF(OR(AND($A16="",$B16="",$C16="",$D16="",$E16="",$F16="",$G16="",$H16=""),NOT($S16="")),"",ROUND(ROUND($C16*$G16,9),2))</f>
        <v/>
      </c>
      <c r="M16" s="19" t="str">
        <f aca="false">IF(OR(AND($A16="",$B16="",$C16="",$D16="",$E16="",$F16="",$G16="",$H16=""),NOT($S16="")),"",ROUND($J16+$K16+$L16+$H16,2))</f>
        <v/>
      </c>
      <c r="N16" s="19" t="str">
        <f aca="false">IF(OR(AND($A16="",$B16="",$C16="",$D16="",$E16="",$F16="",$G16="",$H16=""),NOT($S16="")),"",ROUND($B16-$M16,2))</f>
        <v/>
      </c>
      <c r="O16" s="20" t="str">
        <f aca="false">IF(OR(AND($A16="",$B16="",$C16="",$D16="",$E16="",$F16="",$G16="",$H16=""),NOT($S16="")),"",IF($B16=0,"n/a",INT(ROUND($N16/$B16*10000,6))/10000))</f>
        <v/>
      </c>
      <c r="P16" s="18" t="str">
        <f aca="false">IF(OR(AND($A16="",$B16="",$C16="",$D16="",$E16="",$F16="",$G16="",$H16=""),NOT($S16="")),"",ROUNDUP(ROUND($M16*10000/(10000-TargetH),9),2))</f>
        <v/>
      </c>
      <c r="Q16" s="18" t="str">
        <f aca="false">IF(OR(AND($A16="",$B16="",$C16="",$D16="",$E16="",$F16="",$G16="",$H16=""),NOT($S16="")),"",MAX(0,ROUND($P16-$B16,2)))</f>
        <v/>
      </c>
      <c r="R16" s="21" t="str">
        <f aca="false">IF(AND($A16="",$B16="",$C16="",$D16="",$E16="",$F16="",$G16="",$H16=""),"",IF(NOT($S16=""),"Check inputs",IF($B16=0,"No fee entered",IF($N16&lt;0,"Losing money on entered costs",IF(ROUND($N16*100,0)*10000&lt;TargetH*ROUND($B16*100,0),"Below your target","Meets your target")))))</f>
        <v/>
      </c>
      <c r="S16" s="22" t="str">
        <f aca="false">IF(AND($A16="",$B16="",$C16="",$D16="",$E16="",$F16="",$G16="",$H16=""),"",TRIM(IF($A16="","Customer/site label is missing. ","")&amp;IF($B16="","Monthly fee is missing. ",IF(NOT(ISNUMBER($B16)),"Monthly fee must be a number. ",IF($B16&lt;0,"Monthly fee can't be negative. ",IF(ROUND($B16,2)&lt;&gt;$B16,"Monthly fee: use up to 2 decimal places. ",IF($B16&gt;99999.99,"Monthly fee: use 99,999.99 or less. ","")))))&amp;IF($C16="","Visits per month is missing. ",IF(NOT(ISNUMBER($C16)),"Visits per month must be a number. ",IF($C16&lt;0,"Visits per month can't be negative. ",IF(ROUND($C16,3)&lt;&gt;$C16,"Visits per month: use up to 3 decimal places. ",IF($C16=0,"Visits per month must be more than 0. ",IF($C16&gt;31,"Visits per month: use 31 or less. ",""))))))&amp;IF($D16="","Service minutes per visit is missing. ",IF(NOT(ISNUMBER($D16)),"Service minutes per visit must be a number. ",IF($D16&lt;0,"Service minutes per visit can't be negative. ",IF(ROUND($D16,2)&lt;&gt;$D16,"Service minutes per visit: use up to 2 decimal places. ",IF($D16=0,"Service minutes per visit must be more than 0. ",IF($D16&gt;600,"Service minutes per visit: use 600 or less. ",""))))))&amp;IF($E16="","Drive minutes per visit is missing. ",IF(NOT(ISNUMBER($E16)),"Drive minutes per visit must be a number. ",IF($E16&lt;0,"Drive minutes per visit can't be negative. ",IF(ROUND($E16,2)&lt;&gt;$E16,"Drive minutes per visit: use up to 2 decimal places. ",IF($E16&gt;600,"Drive minutes per visit: use 600 or less. ","")))))&amp;IF($F16="","Drive miles per visit is missing. ",IF(NOT(ISNUMBER($F16)),"Drive miles per visit must be a number. ",IF($F16&lt;0,"Drive miles per visit can't be negative. ",IF(ROUND($F16,2)&lt;&gt;$F16,"Drive miles per visit: use up to 2 decimal places. ",IF($F16&gt;1000,"Drive miles per visit: use 1,000 or less. ","")))))&amp;IF($G16="","Chemicals per visit is missing. ",IF(NOT(ISNUMBER($G16)),"Chemicals per visit must be a number. ",IF($G16&lt;0,"Chemicals per visit can't be negative. ",IF(ROUND($G16,2)&lt;&gt;$G16,"Chemicals per visit: use up to 2 decimal places. ",IF($G16&gt;9999.99,"Chemicals per visit: use 9,999.99 or less. ","")))))&amp;IF($H16="","Other monthly costs is missing. ",IF(NOT(ISNUMBER($H16)),"Other monthly costs must be a number. ",IF($H16&lt;0,"Other monthly costs can't be negative. ",IF(ROUND($H16,2)&lt;&gt;$H16,"Other monthly costs: use up to 2 decimal places. ",IF($H16&gt;99999.99,"Other monthly costs: use 99,999.99 or less. ","")))))&amp;IF(SettingsOK,"","Settings incomplete.")))</f>
        <v/>
      </c>
      <c r="T16" s="23" t="str">
        <f aca="false">IF(AND($A16="",$B16="",$C16="",$D16="",$E16="",$F16="",$G16="",$H16=""),"",IF(Review!$B$5="Check inputs",IF($R16="Check inputs",ROW(),""),IF($R16="Check inputs",IF(Review!$B$5="All accounts",-2000000000000000+ROW(),""),IF(AND(Review!$B$5="Needs review",$R16="Meets your target"),"",IF($R16="No fee entered",-1000000000000000+ROW(),$N16/$B16+ROW()/1000000000)))))</f>
        <v/>
      </c>
    </row>
    <row r="17" customFormat="false" ht="15" hidden="false" customHeight="false" outlineLevel="0" collapsed="false">
      <c r="A17" s="14"/>
      <c r="B17" s="15"/>
      <c r="C17" s="16"/>
      <c r="D17" s="14"/>
      <c r="E17" s="14"/>
      <c r="F17" s="14"/>
      <c r="G17" s="15"/>
      <c r="H17" s="15"/>
      <c r="I17" s="17" t="str">
        <f aca="false">IF(OR(AND($A17="",$B17="",$C17="",$D17="",$E17="",$F17="",$G17="",$H17=""),NOT($S17="")),"",ROUND($C17*($D17+$E17)/60,4))</f>
        <v/>
      </c>
      <c r="J17" s="18" t="str">
        <f aca="false">IF(OR(AND($A17="",$B17="",$C17="",$D17="",$E17="",$F17="",$G17="",$H17=""),NOT($S17="")),"",ROUND(ROUND($C17*($D17+$E17)/60*$B$5,9),2))</f>
        <v/>
      </c>
      <c r="K17" s="18" t="str">
        <f aca="false">IF(OR(AND($A17="",$B17="",$C17="",$D17="",$E17="",$F17="",$G17="",$H17=""),NOT($S17="")),"",ROUND(ROUND($C17*$F17*$B$6,9),2))</f>
        <v/>
      </c>
      <c r="L17" s="18" t="str">
        <f aca="false">IF(OR(AND($A17="",$B17="",$C17="",$D17="",$E17="",$F17="",$G17="",$H17=""),NOT($S17="")),"",ROUND(ROUND($C17*$G17,9),2))</f>
        <v/>
      </c>
      <c r="M17" s="19" t="str">
        <f aca="false">IF(OR(AND($A17="",$B17="",$C17="",$D17="",$E17="",$F17="",$G17="",$H17=""),NOT($S17="")),"",ROUND($J17+$K17+$L17+$H17,2))</f>
        <v/>
      </c>
      <c r="N17" s="19" t="str">
        <f aca="false">IF(OR(AND($A17="",$B17="",$C17="",$D17="",$E17="",$F17="",$G17="",$H17=""),NOT($S17="")),"",ROUND($B17-$M17,2))</f>
        <v/>
      </c>
      <c r="O17" s="20" t="str">
        <f aca="false">IF(OR(AND($A17="",$B17="",$C17="",$D17="",$E17="",$F17="",$G17="",$H17=""),NOT($S17="")),"",IF($B17=0,"n/a",INT(ROUND($N17/$B17*10000,6))/10000))</f>
        <v/>
      </c>
      <c r="P17" s="18" t="str">
        <f aca="false">IF(OR(AND($A17="",$B17="",$C17="",$D17="",$E17="",$F17="",$G17="",$H17=""),NOT($S17="")),"",ROUNDUP(ROUND($M17*10000/(10000-TargetH),9),2))</f>
        <v/>
      </c>
      <c r="Q17" s="18" t="str">
        <f aca="false">IF(OR(AND($A17="",$B17="",$C17="",$D17="",$E17="",$F17="",$G17="",$H17=""),NOT($S17="")),"",MAX(0,ROUND($P17-$B17,2)))</f>
        <v/>
      </c>
      <c r="R17" s="21" t="str">
        <f aca="false">IF(AND($A17="",$B17="",$C17="",$D17="",$E17="",$F17="",$G17="",$H17=""),"",IF(NOT($S17=""),"Check inputs",IF($B17=0,"No fee entered",IF($N17&lt;0,"Losing money on entered costs",IF(ROUND($N17*100,0)*10000&lt;TargetH*ROUND($B17*100,0),"Below your target","Meets your target")))))</f>
        <v/>
      </c>
      <c r="S17" s="22" t="str">
        <f aca="false">IF(AND($A17="",$B17="",$C17="",$D17="",$E17="",$F17="",$G17="",$H17=""),"",TRIM(IF($A17="","Customer/site label is missing. ","")&amp;IF($B17="","Monthly fee is missing. ",IF(NOT(ISNUMBER($B17)),"Monthly fee must be a number. ",IF($B17&lt;0,"Monthly fee can't be negative. ",IF(ROUND($B17,2)&lt;&gt;$B17,"Monthly fee: use up to 2 decimal places. ",IF($B17&gt;99999.99,"Monthly fee: use 99,999.99 or less. ","")))))&amp;IF($C17="","Visits per month is missing. ",IF(NOT(ISNUMBER($C17)),"Visits per month must be a number. ",IF($C17&lt;0,"Visits per month can't be negative. ",IF(ROUND($C17,3)&lt;&gt;$C17,"Visits per month: use up to 3 decimal places. ",IF($C17=0,"Visits per month must be more than 0. ",IF($C17&gt;31,"Visits per month: use 31 or less. ",""))))))&amp;IF($D17="","Service minutes per visit is missing. ",IF(NOT(ISNUMBER($D17)),"Service minutes per visit must be a number. ",IF($D17&lt;0,"Service minutes per visit can't be negative. ",IF(ROUND($D17,2)&lt;&gt;$D17,"Service minutes per visit: use up to 2 decimal places. ",IF($D17=0,"Service minutes per visit must be more than 0. ",IF($D17&gt;600,"Service minutes per visit: use 600 or less. ",""))))))&amp;IF($E17="","Drive minutes per visit is missing. ",IF(NOT(ISNUMBER($E17)),"Drive minutes per visit must be a number. ",IF($E17&lt;0,"Drive minutes per visit can't be negative. ",IF(ROUND($E17,2)&lt;&gt;$E17,"Drive minutes per visit: use up to 2 decimal places. ",IF($E17&gt;600,"Drive minutes per visit: use 600 or less. ","")))))&amp;IF($F17="","Drive miles per visit is missing. ",IF(NOT(ISNUMBER($F17)),"Drive miles per visit must be a number. ",IF($F17&lt;0,"Drive miles per visit can't be negative. ",IF(ROUND($F17,2)&lt;&gt;$F17,"Drive miles per visit: use up to 2 decimal places. ",IF($F17&gt;1000,"Drive miles per visit: use 1,000 or less. ","")))))&amp;IF($G17="","Chemicals per visit is missing. ",IF(NOT(ISNUMBER($G17)),"Chemicals per visit must be a number. ",IF($G17&lt;0,"Chemicals per visit can't be negative. ",IF(ROUND($G17,2)&lt;&gt;$G17,"Chemicals per visit: use up to 2 decimal places. ",IF($G17&gt;9999.99,"Chemicals per visit: use 9,999.99 or less. ","")))))&amp;IF($H17="","Other monthly costs is missing. ",IF(NOT(ISNUMBER($H17)),"Other monthly costs must be a number. ",IF($H17&lt;0,"Other monthly costs can't be negative. ",IF(ROUND($H17,2)&lt;&gt;$H17,"Other monthly costs: use up to 2 decimal places. ",IF($H17&gt;99999.99,"Other monthly costs: use 99,999.99 or less. ","")))))&amp;IF(SettingsOK,"","Settings incomplete.")))</f>
        <v/>
      </c>
      <c r="T17" s="23" t="str">
        <f aca="false">IF(AND($A17="",$B17="",$C17="",$D17="",$E17="",$F17="",$G17="",$H17=""),"",IF(Review!$B$5="Check inputs",IF($R17="Check inputs",ROW(),""),IF($R17="Check inputs",IF(Review!$B$5="All accounts",-2000000000000000+ROW(),""),IF(AND(Review!$B$5="Needs review",$R17="Meets your target"),"",IF($R17="No fee entered",-1000000000000000+ROW(),$N17/$B17+ROW()/1000000000)))))</f>
        <v/>
      </c>
    </row>
    <row r="18" customFormat="false" ht="15" hidden="false" customHeight="false" outlineLevel="0" collapsed="false">
      <c r="A18" s="14"/>
      <c r="B18" s="15"/>
      <c r="C18" s="16"/>
      <c r="D18" s="14"/>
      <c r="E18" s="14"/>
      <c r="F18" s="14"/>
      <c r="G18" s="15"/>
      <c r="H18" s="15"/>
      <c r="I18" s="17" t="str">
        <f aca="false">IF(OR(AND($A18="",$B18="",$C18="",$D18="",$E18="",$F18="",$G18="",$H18=""),NOT($S18="")),"",ROUND($C18*($D18+$E18)/60,4))</f>
        <v/>
      </c>
      <c r="J18" s="18" t="str">
        <f aca="false">IF(OR(AND($A18="",$B18="",$C18="",$D18="",$E18="",$F18="",$G18="",$H18=""),NOT($S18="")),"",ROUND(ROUND($C18*($D18+$E18)/60*$B$5,9),2))</f>
        <v/>
      </c>
      <c r="K18" s="18" t="str">
        <f aca="false">IF(OR(AND($A18="",$B18="",$C18="",$D18="",$E18="",$F18="",$G18="",$H18=""),NOT($S18="")),"",ROUND(ROUND($C18*$F18*$B$6,9),2))</f>
        <v/>
      </c>
      <c r="L18" s="18" t="str">
        <f aca="false">IF(OR(AND($A18="",$B18="",$C18="",$D18="",$E18="",$F18="",$G18="",$H18=""),NOT($S18="")),"",ROUND(ROUND($C18*$G18,9),2))</f>
        <v/>
      </c>
      <c r="M18" s="19" t="str">
        <f aca="false">IF(OR(AND($A18="",$B18="",$C18="",$D18="",$E18="",$F18="",$G18="",$H18=""),NOT($S18="")),"",ROUND($J18+$K18+$L18+$H18,2))</f>
        <v/>
      </c>
      <c r="N18" s="19" t="str">
        <f aca="false">IF(OR(AND($A18="",$B18="",$C18="",$D18="",$E18="",$F18="",$G18="",$H18=""),NOT($S18="")),"",ROUND($B18-$M18,2))</f>
        <v/>
      </c>
      <c r="O18" s="20" t="str">
        <f aca="false">IF(OR(AND($A18="",$B18="",$C18="",$D18="",$E18="",$F18="",$G18="",$H18=""),NOT($S18="")),"",IF($B18=0,"n/a",INT(ROUND($N18/$B18*10000,6))/10000))</f>
        <v/>
      </c>
      <c r="P18" s="18" t="str">
        <f aca="false">IF(OR(AND($A18="",$B18="",$C18="",$D18="",$E18="",$F18="",$G18="",$H18=""),NOT($S18="")),"",ROUNDUP(ROUND($M18*10000/(10000-TargetH),9),2))</f>
        <v/>
      </c>
      <c r="Q18" s="18" t="str">
        <f aca="false">IF(OR(AND($A18="",$B18="",$C18="",$D18="",$E18="",$F18="",$G18="",$H18=""),NOT($S18="")),"",MAX(0,ROUND($P18-$B18,2)))</f>
        <v/>
      </c>
      <c r="R18" s="21" t="str">
        <f aca="false">IF(AND($A18="",$B18="",$C18="",$D18="",$E18="",$F18="",$G18="",$H18=""),"",IF(NOT($S18=""),"Check inputs",IF($B18=0,"No fee entered",IF($N18&lt;0,"Losing money on entered costs",IF(ROUND($N18*100,0)*10000&lt;TargetH*ROUND($B18*100,0),"Below your target","Meets your target")))))</f>
        <v/>
      </c>
      <c r="S18" s="22" t="str">
        <f aca="false">IF(AND($A18="",$B18="",$C18="",$D18="",$E18="",$F18="",$G18="",$H18=""),"",TRIM(IF($A18="","Customer/site label is missing. ","")&amp;IF($B18="","Monthly fee is missing. ",IF(NOT(ISNUMBER($B18)),"Monthly fee must be a number. ",IF($B18&lt;0,"Monthly fee can't be negative. ",IF(ROUND($B18,2)&lt;&gt;$B18,"Monthly fee: use up to 2 decimal places. ",IF($B18&gt;99999.99,"Monthly fee: use 99,999.99 or less. ","")))))&amp;IF($C18="","Visits per month is missing. ",IF(NOT(ISNUMBER($C18)),"Visits per month must be a number. ",IF($C18&lt;0,"Visits per month can't be negative. ",IF(ROUND($C18,3)&lt;&gt;$C18,"Visits per month: use up to 3 decimal places. ",IF($C18=0,"Visits per month must be more than 0. ",IF($C18&gt;31,"Visits per month: use 31 or less. ",""))))))&amp;IF($D18="","Service minutes per visit is missing. ",IF(NOT(ISNUMBER($D18)),"Service minutes per visit must be a number. ",IF($D18&lt;0,"Service minutes per visit can't be negative. ",IF(ROUND($D18,2)&lt;&gt;$D18,"Service minutes per visit: use up to 2 decimal places. ",IF($D18=0,"Service minutes per visit must be more than 0. ",IF($D18&gt;600,"Service minutes per visit: use 600 or less. ",""))))))&amp;IF($E18="","Drive minutes per visit is missing. ",IF(NOT(ISNUMBER($E18)),"Drive minutes per visit must be a number. ",IF($E18&lt;0,"Drive minutes per visit can't be negative. ",IF(ROUND($E18,2)&lt;&gt;$E18,"Drive minutes per visit: use up to 2 decimal places. ",IF($E18&gt;600,"Drive minutes per visit: use 600 or less. ","")))))&amp;IF($F18="","Drive miles per visit is missing. ",IF(NOT(ISNUMBER($F18)),"Drive miles per visit must be a number. ",IF($F18&lt;0,"Drive miles per visit can't be negative. ",IF(ROUND($F18,2)&lt;&gt;$F18,"Drive miles per visit: use up to 2 decimal places. ",IF($F18&gt;1000,"Drive miles per visit: use 1,000 or less. ","")))))&amp;IF($G18="","Chemicals per visit is missing. ",IF(NOT(ISNUMBER($G18)),"Chemicals per visit must be a number. ",IF($G18&lt;0,"Chemicals per visit can't be negative. ",IF(ROUND($G18,2)&lt;&gt;$G18,"Chemicals per visit: use up to 2 decimal places. ",IF($G18&gt;9999.99,"Chemicals per visit: use 9,999.99 or less. ","")))))&amp;IF($H18="","Other monthly costs is missing. ",IF(NOT(ISNUMBER($H18)),"Other monthly costs must be a number. ",IF($H18&lt;0,"Other monthly costs can't be negative. ",IF(ROUND($H18,2)&lt;&gt;$H18,"Other monthly costs: use up to 2 decimal places. ",IF($H18&gt;99999.99,"Other monthly costs: use 99,999.99 or less. ","")))))&amp;IF(SettingsOK,"","Settings incomplete.")))</f>
        <v/>
      </c>
      <c r="T18" s="23" t="str">
        <f aca="false">IF(AND($A18="",$B18="",$C18="",$D18="",$E18="",$F18="",$G18="",$H18=""),"",IF(Review!$B$5="Check inputs",IF($R18="Check inputs",ROW(),""),IF($R18="Check inputs",IF(Review!$B$5="All accounts",-2000000000000000+ROW(),""),IF(AND(Review!$B$5="Needs review",$R18="Meets your target"),"",IF($R18="No fee entered",-1000000000000000+ROW(),$N18/$B18+ROW()/1000000000)))))</f>
        <v/>
      </c>
    </row>
    <row r="19" customFormat="false" ht="15" hidden="false" customHeight="false" outlineLevel="0" collapsed="false">
      <c r="A19" s="14"/>
      <c r="B19" s="15"/>
      <c r="C19" s="16"/>
      <c r="D19" s="14"/>
      <c r="E19" s="14"/>
      <c r="F19" s="14"/>
      <c r="G19" s="15"/>
      <c r="H19" s="15"/>
      <c r="I19" s="17" t="str">
        <f aca="false">IF(OR(AND($A19="",$B19="",$C19="",$D19="",$E19="",$F19="",$G19="",$H19=""),NOT($S19="")),"",ROUND($C19*($D19+$E19)/60,4))</f>
        <v/>
      </c>
      <c r="J19" s="18" t="str">
        <f aca="false">IF(OR(AND($A19="",$B19="",$C19="",$D19="",$E19="",$F19="",$G19="",$H19=""),NOT($S19="")),"",ROUND(ROUND($C19*($D19+$E19)/60*$B$5,9),2))</f>
        <v/>
      </c>
      <c r="K19" s="18" t="str">
        <f aca="false">IF(OR(AND($A19="",$B19="",$C19="",$D19="",$E19="",$F19="",$G19="",$H19=""),NOT($S19="")),"",ROUND(ROUND($C19*$F19*$B$6,9),2))</f>
        <v/>
      </c>
      <c r="L19" s="18" t="str">
        <f aca="false">IF(OR(AND($A19="",$B19="",$C19="",$D19="",$E19="",$F19="",$G19="",$H19=""),NOT($S19="")),"",ROUND(ROUND($C19*$G19,9),2))</f>
        <v/>
      </c>
      <c r="M19" s="19" t="str">
        <f aca="false">IF(OR(AND($A19="",$B19="",$C19="",$D19="",$E19="",$F19="",$G19="",$H19=""),NOT($S19="")),"",ROUND($J19+$K19+$L19+$H19,2))</f>
        <v/>
      </c>
      <c r="N19" s="19" t="str">
        <f aca="false">IF(OR(AND($A19="",$B19="",$C19="",$D19="",$E19="",$F19="",$G19="",$H19=""),NOT($S19="")),"",ROUND($B19-$M19,2))</f>
        <v/>
      </c>
      <c r="O19" s="20" t="str">
        <f aca="false">IF(OR(AND($A19="",$B19="",$C19="",$D19="",$E19="",$F19="",$G19="",$H19=""),NOT($S19="")),"",IF($B19=0,"n/a",INT(ROUND($N19/$B19*10000,6))/10000))</f>
        <v/>
      </c>
      <c r="P19" s="18" t="str">
        <f aca="false">IF(OR(AND($A19="",$B19="",$C19="",$D19="",$E19="",$F19="",$G19="",$H19=""),NOT($S19="")),"",ROUNDUP(ROUND($M19*10000/(10000-TargetH),9),2))</f>
        <v/>
      </c>
      <c r="Q19" s="18" t="str">
        <f aca="false">IF(OR(AND($A19="",$B19="",$C19="",$D19="",$E19="",$F19="",$G19="",$H19=""),NOT($S19="")),"",MAX(0,ROUND($P19-$B19,2)))</f>
        <v/>
      </c>
      <c r="R19" s="21" t="str">
        <f aca="false">IF(AND($A19="",$B19="",$C19="",$D19="",$E19="",$F19="",$G19="",$H19=""),"",IF(NOT($S19=""),"Check inputs",IF($B19=0,"No fee entered",IF($N19&lt;0,"Losing money on entered costs",IF(ROUND($N19*100,0)*10000&lt;TargetH*ROUND($B19*100,0),"Below your target","Meets your target")))))</f>
        <v/>
      </c>
      <c r="S19" s="22" t="str">
        <f aca="false">IF(AND($A19="",$B19="",$C19="",$D19="",$E19="",$F19="",$G19="",$H19=""),"",TRIM(IF($A19="","Customer/site label is missing. ","")&amp;IF($B19="","Monthly fee is missing. ",IF(NOT(ISNUMBER($B19)),"Monthly fee must be a number. ",IF($B19&lt;0,"Monthly fee can't be negative. ",IF(ROUND($B19,2)&lt;&gt;$B19,"Monthly fee: use up to 2 decimal places. ",IF($B19&gt;99999.99,"Monthly fee: use 99,999.99 or less. ","")))))&amp;IF($C19="","Visits per month is missing. ",IF(NOT(ISNUMBER($C19)),"Visits per month must be a number. ",IF($C19&lt;0,"Visits per month can't be negative. ",IF(ROUND($C19,3)&lt;&gt;$C19,"Visits per month: use up to 3 decimal places. ",IF($C19=0,"Visits per month must be more than 0. ",IF($C19&gt;31,"Visits per month: use 31 or less. ",""))))))&amp;IF($D19="","Service minutes per visit is missing. ",IF(NOT(ISNUMBER($D19)),"Service minutes per visit must be a number. ",IF($D19&lt;0,"Service minutes per visit can't be negative. ",IF(ROUND($D19,2)&lt;&gt;$D19,"Service minutes per visit: use up to 2 decimal places. ",IF($D19=0,"Service minutes per visit must be more than 0. ",IF($D19&gt;600,"Service minutes per visit: use 600 or less. ",""))))))&amp;IF($E19="","Drive minutes per visit is missing. ",IF(NOT(ISNUMBER($E19)),"Drive minutes per visit must be a number. ",IF($E19&lt;0,"Drive minutes per visit can't be negative. ",IF(ROUND($E19,2)&lt;&gt;$E19,"Drive minutes per visit: use up to 2 decimal places. ",IF($E19&gt;600,"Drive minutes per visit: use 600 or less. ","")))))&amp;IF($F19="","Drive miles per visit is missing. ",IF(NOT(ISNUMBER($F19)),"Drive miles per visit must be a number. ",IF($F19&lt;0,"Drive miles per visit can't be negative. ",IF(ROUND($F19,2)&lt;&gt;$F19,"Drive miles per visit: use up to 2 decimal places. ",IF($F19&gt;1000,"Drive miles per visit: use 1,000 or less. ","")))))&amp;IF($G19="","Chemicals per visit is missing. ",IF(NOT(ISNUMBER($G19)),"Chemicals per visit must be a number. ",IF($G19&lt;0,"Chemicals per visit can't be negative. ",IF(ROUND($G19,2)&lt;&gt;$G19,"Chemicals per visit: use up to 2 decimal places. ",IF($G19&gt;9999.99,"Chemicals per visit: use 9,999.99 or less. ","")))))&amp;IF($H19="","Other monthly costs is missing. ",IF(NOT(ISNUMBER($H19)),"Other monthly costs must be a number. ",IF($H19&lt;0,"Other monthly costs can't be negative. ",IF(ROUND($H19,2)&lt;&gt;$H19,"Other monthly costs: use up to 2 decimal places. ",IF($H19&gt;99999.99,"Other monthly costs: use 99,999.99 or less. ","")))))&amp;IF(SettingsOK,"","Settings incomplete.")))</f>
        <v/>
      </c>
      <c r="T19" s="23" t="str">
        <f aca="false">IF(AND($A19="",$B19="",$C19="",$D19="",$E19="",$F19="",$G19="",$H19=""),"",IF(Review!$B$5="Check inputs",IF($R19="Check inputs",ROW(),""),IF($R19="Check inputs",IF(Review!$B$5="All accounts",-2000000000000000+ROW(),""),IF(AND(Review!$B$5="Needs review",$R19="Meets your target"),"",IF($R19="No fee entered",-1000000000000000+ROW(),$N19/$B19+ROW()/1000000000)))))</f>
        <v/>
      </c>
    </row>
    <row r="20" customFormat="false" ht="15" hidden="false" customHeight="false" outlineLevel="0" collapsed="false">
      <c r="A20" s="14"/>
      <c r="B20" s="15"/>
      <c r="C20" s="16"/>
      <c r="D20" s="14"/>
      <c r="E20" s="14"/>
      <c r="F20" s="14"/>
      <c r="G20" s="15"/>
      <c r="H20" s="15"/>
      <c r="I20" s="17" t="str">
        <f aca="false">IF(OR(AND($A20="",$B20="",$C20="",$D20="",$E20="",$F20="",$G20="",$H20=""),NOT($S20="")),"",ROUND($C20*($D20+$E20)/60,4))</f>
        <v/>
      </c>
      <c r="J20" s="18" t="str">
        <f aca="false">IF(OR(AND($A20="",$B20="",$C20="",$D20="",$E20="",$F20="",$G20="",$H20=""),NOT($S20="")),"",ROUND(ROUND($C20*($D20+$E20)/60*$B$5,9),2))</f>
        <v/>
      </c>
      <c r="K20" s="18" t="str">
        <f aca="false">IF(OR(AND($A20="",$B20="",$C20="",$D20="",$E20="",$F20="",$G20="",$H20=""),NOT($S20="")),"",ROUND(ROUND($C20*$F20*$B$6,9),2))</f>
        <v/>
      </c>
      <c r="L20" s="18" t="str">
        <f aca="false">IF(OR(AND($A20="",$B20="",$C20="",$D20="",$E20="",$F20="",$G20="",$H20=""),NOT($S20="")),"",ROUND(ROUND($C20*$G20,9),2))</f>
        <v/>
      </c>
      <c r="M20" s="19" t="str">
        <f aca="false">IF(OR(AND($A20="",$B20="",$C20="",$D20="",$E20="",$F20="",$G20="",$H20=""),NOT($S20="")),"",ROUND($J20+$K20+$L20+$H20,2))</f>
        <v/>
      </c>
      <c r="N20" s="19" t="str">
        <f aca="false">IF(OR(AND($A20="",$B20="",$C20="",$D20="",$E20="",$F20="",$G20="",$H20=""),NOT($S20="")),"",ROUND($B20-$M20,2))</f>
        <v/>
      </c>
      <c r="O20" s="20" t="str">
        <f aca="false">IF(OR(AND($A20="",$B20="",$C20="",$D20="",$E20="",$F20="",$G20="",$H20=""),NOT($S20="")),"",IF($B20=0,"n/a",INT(ROUND($N20/$B20*10000,6))/10000))</f>
        <v/>
      </c>
      <c r="P20" s="18" t="str">
        <f aca="false">IF(OR(AND($A20="",$B20="",$C20="",$D20="",$E20="",$F20="",$G20="",$H20=""),NOT($S20="")),"",ROUNDUP(ROUND($M20*10000/(10000-TargetH),9),2))</f>
        <v/>
      </c>
      <c r="Q20" s="18" t="str">
        <f aca="false">IF(OR(AND($A20="",$B20="",$C20="",$D20="",$E20="",$F20="",$G20="",$H20=""),NOT($S20="")),"",MAX(0,ROUND($P20-$B20,2)))</f>
        <v/>
      </c>
      <c r="R20" s="21" t="str">
        <f aca="false">IF(AND($A20="",$B20="",$C20="",$D20="",$E20="",$F20="",$G20="",$H20=""),"",IF(NOT($S20=""),"Check inputs",IF($B20=0,"No fee entered",IF($N20&lt;0,"Losing money on entered costs",IF(ROUND($N20*100,0)*10000&lt;TargetH*ROUND($B20*100,0),"Below your target","Meets your target")))))</f>
        <v/>
      </c>
      <c r="S20" s="22" t="str">
        <f aca="false">IF(AND($A20="",$B20="",$C20="",$D20="",$E20="",$F20="",$G20="",$H20=""),"",TRIM(IF($A20="","Customer/site label is missing. ","")&amp;IF($B20="","Monthly fee is missing. ",IF(NOT(ISNUMBER($B20)),"Monthly fee must be a number. ",IF($B20&lt;0,"Monthly fee can't be negative. ",IF(ROUND($B20,2)&lt;&gt;$B20,"Monthly fee: use up to 2 decimal places. ",IF($B20&gt;99999.99,"Monthly fee: use 99,999.99 or less. ","")))))&amp;IF($C20="","Visits per month is missing. ",IF(NOT(ISNUMBER($C20)),"Visits per month must be a number. ",IF($C20&lt;0,"Visits per month can't be negative. ",IF(ROUND($C20,3)&lt;&gt;$C20,"Visits per month: use up to 3 decimal places. ",IF($C20=0,"Visits per month must be more than 0. ",IF($C20&gt;31,"Visits per month: use 31 or less. ",""))))))&amp;IF($D20="","Service minutes per visit is missing. ",IF(NOT(ISNUMBER($D20)),"Service minutes per visit must be a number. ",IF($D20&lt;0,"Service minutes per visit can't be negative. ",IF(ROUND($D20,2)&lt;&gt;$D20,"Service minutes per visit: use up to 2 decimal places. ",IF($D20=0,"Service minutes per visit must be more than 0. ",IF($D20&gt;600,"Service minutes per visit: use 600 or less. ",""))))))&amp;IF($E20="","Drive minutes per visit is missing. ",IF(NOT(ISNUMBER($E20)),"Drive minutes per visit must be a number. ",IF($E20&lt;0,"Drive minutes per visit can't be negative. ",IF(ROUND($E20,2)&lt;&gt;$E20,"Drive minutes per visit: use up to 2 decimal places. ",IF($E20&gt;600,"Drive minutes per visit: use 600 or less. ","")))))&amp;IF($F20="","Drive miles per visit is missing. ",IF(NOT(ISNUMBER($F20)),"Drive miles per visit must be a number. ",IF($F20&lt;0,"Drive miles per visit can't be negative. ",IF(ROUND($F20,2)&lt;&gt;$F20,"Drive miles per visit: use up to 2 decimal places. ",IF($F20&gt;1000,"Drive miles per visit: use 1,000 or less. ","")))))&amp;IF($G20="","Chemicals per visit is missing. ",IF(NOT(ISNUMBER($G20)),"Chemicals per visit must be a number. ",IF($G20&lt;0,"Chemicals per visit can't be negative. ",IF(ROUND($G20,2)&lt;&gt;$G20,"Chemicals per visit: use up to 2 decimal places. ",IF($G20&gt;9999.99,"Chemicals per visit: use 9,999.99 or less. ","")))))&amp;IF($H20="","Other monthly costs is missing. ",IF(NOT(ISNUMBER($H20)),"Other monthly costs must be a number. ",IF($H20&lt;0,"Other monthly costs can't be negative. ",IF(ROUND($H20,2)&lt;&gt;$H20,"Other monthly costs: use up to 2 decimal places. ",IF($H20&gt;99999.99,"Other monthly costs: use 99,999.99 or less. ","")))))&amp;IF(SettingsOK,"","Settings incomplete.")))</f>
        <v/>
      </c>
      <c r="T20" s="23" t="str">
        <f aca="false">IF(AND($A20="",$B20="",$C20="",$D20="",$E20="",$F20="",$G20="",$H20=""),"",IF(Review!$B$5="Check inputs",IF($R20="Check inputs",ROW(),""),IF($R20="Check inputs",IF(Review!$B$5="All accounts",-2000000000000000+ROW(),""),IF(AND(Review!$B$5="Needs review",$R20="Meets your target"),"",IF($R20="No fee entered",-1000000000000000+ROW(),$N20/$B20+ROW()/1000000000)))))</f>
        <v/>
      </c>
    </row>
    <row r="21" customFormat="false" ht="15" hidden="false" customHeight="false" outlineLevel="0" collapsed="false">
      <c r="A21" s="14"/>
      <c r="B21" s="15"/>
      <c r="C21" s="16"/>
      <c r="D21" s="14"/>
      <c r="E21" s="14"/>
      <c r="F21" s="14"/>
      <c r="G21" s="15"/>
      <c r="H21" s="15"/>
      <c r="I21" s="17" t="str">
        <f aca="false">IF(OR(AND($A21="",$B21="",$C21="",$D21="",$E21="",$F21="",$G21="",$H21=""),NOT($S21="")),"",ROUND($C21*($D21+$E21)/60,4))</f>
        <v/>
      </c>
      <c r="J21" s="18" t="str">
        <f aca="false">IF(OR(AND($A21="",$B21="",$C21="",$D21="",$E21="",$F21="",$G21="",$H21=""),NOT($S21="")),"",ROUND(ROUND($C21*($D21+$E21)/60*$B$5,9),2))</f>
        <v/>
      </c>
      <c r="K21" s="18" t="str">
        <f aca="false">IF(OR(AND($A21="",$B21="",$C21="",$D21="",$E21="",$F21="",$G21="",$H21=""),NOT($S21="")),"",ROUND(ROUND($C21*$F21*$B$6,9),2))</f>
        <v/>
      </c>
      <c r="L21" s="18" t="str">
        <f aca="false">IF(OR(AND($A21="",$B21="",$C21="",$D21="",$E21="",$F21="",$G21="",$H21=""),NOT($S21="")),"",ROUND(ROUND($C21*$G21,9),2))</f>
        <v/>
      </c>
      <c r="M21" s="19" t="str">
        <f aca="false">IF(OR(AND($A21="",$B21="",$C21="",$D21="",$E21="",$F21="",$G21="",$H21=""),NOT($S21="")),"",ROUND($J21+$K21+$L21+$H21,2))</f>
        <v/>
      </c>
      <c r="N21" s="19" t="str">
        <f aca="false">IF(OR(AND($A21="",$B21="",$C21="",$D21="",$E21="",$F21="",$G21="",$H21=""),NOT($S21="")),"",ROUND($B21-$M21,2))</f>
        <v/>
      </c>
      <c r="O21" s="20" t="str">
        <f aca="false">IF(OR(AND($A21="",$B21="",$C21="",$D21="",$E21="",$F21="",$G21="",$H21=""),NOT($S21="")),"",IF($B21=0,"n/a",INT(ROUND($N21/$B21*10000,6))/10000))</f>
        <v/>
      </c>
      <c r="P21" s="18" t="str">
        <f aca="false">IF(OR(AND($A21="",$B21="",$C21="",$D21="",$E21="",$F21="",$G21="",$H21=""),NOT($S21="")),"",ROUNDUP(ROUND($M21*10000/(10000-TargetH),9),2))</f>
        <v/>
      </c>
      <c r="Q21" s="18" t="str">
        <f aca="false">IF(OR(AND($A21="",$B21="",$C21="",$D21="",$E21="",$F21="",$G21="",$H21=""),NOT($S21="")),"",MAX(0,ROUND($P21-$B21,2)))</f>
        <v/>
      </c>
      <c r="R21" s="21" t="str">
        <f aca="false">IF(AND($A21="",$B21="",$C21="",$D21="",$E21="",$F21="",$G21="",$H21=""),"",IF(NOT($S21=""),"Check inputs",IF($B21=0,"No fee entered",IF($N21&lt;0,"Losing money on entered costs",IF(ROUND($N21*100,0)*10000&lt;TargetH*ROUND($B21*100,0),"Below your target","Meets your target")))))</f>
        <v/>
      </c>
      <c r="S21" s="22" t="str">
        <f aca="false">IF(AND($A21="",$B21="",$C21="",$D21="",$E21="",$F21="",$G21="",$H21=""),"",TRIM(IF($A21="","Customer/site label is missing. ","")&amp;IF($B21="","Monthly fee is missing. ",IF(NOT(ISNUMBER($B21)),"Monthly fee must be a number. ",IF($B21&lt;0,"Monthly fee can't be negative. ",IF(ROUND($B21,2)&lt;&gt;$B21,"Monthly fee: use up to 2 decimal places. ",IF($B21&gt;99999.99,"Monthly fee: use 99,999.99 or less. ","")))))&amp;IF($C21="","Visits per month is missing. ",IF(NOT(ISNUMBER($C21)),"Visits per month must be a number. ",IF($C21&lt;0,"Visits per month can't be negative. ",IF(ROUND($C21,3)&lt;&gt;$C21,"Visits per month: use up to 3 decimal places. ",IF($C21=0,"Visits per month must be more than 0. ",IF($C21&gt;31,"Visits per month: use 31 or less. ",""))))))&amp;IF($D21="","Service minutes per visit is missing. ",IF(NOT(ISNUMBER($D21)),"Service minutes per visit must be a number. ",IF($D21&lt;0,"Service minutes per visit can't be negative. ",IF(ROUND($D21,2)&lt;&gt;$D21,"Service minutes per visit: use up to 2 decimal places. ",IF($D21=0,"Service minutes per visit must be more than 0. ",IF($D21&gt;600,"Service minutes per visit: use 600 or less. ",""))))))&amp;IF($E21="","Drive minutes per visit is missing. ",IF(NOT(ISNUMBER($E21)),"Drive minutes per visit must be a number. ",IF($E21&lt;0,"Drive minutes per visit can't be negative. ",IF(ROUND($E21,2)&lt;&gt;$E21,"Drive minutes per visit: use up to 2 decimal places. ",IF($E21&gt;600,"Drive minutes per visit: use 600 or less. ","")))))&amp;IF($F21="","Drive miles per visit is missing. ",IF(NOT(ISNUMBER($F21)),"Drive miles per visit must be a number. ",IF($F21&lt;0,"Drive miles per visit can't be negative. ",IF(ROUND($F21,2)&lt;&gt;$F21,"Drive miles per visit: use up to 2 decimal places. ",IF($F21&gt;1000,"Drive miles per visit: use 1,000 or less. ","")))))&amp;IF($G21="","Chemicals per visit is missing. ",IF(NOT(ISNUMBER($G21)),"Chemicals per visit must be a number. ",IF($G21&lt;0,"Chemicals per visit can't be negative. ",IF(ROUND($G21,2)&lt;&gt;$G21,"Chemicals per visit: use up to 2 decimal places. ",IF($G21&gt;9999.99,"Chemicals per visit: use 9,999.99 or less. ","")))))&amp;IF($H21="","Other monthly costs is missing. ",IF(NOT(ISNUMBER($H21)),"Other monthly costs must be a number. ",IF($H21&lt;0,"Other monthly costs can't be negative. ",IF(ROUND($H21,2)&lt;&gt;$H21,"Other monthly costs: use up to 2 decimal places. ",IF($H21&gt;99999.99,"Other monthly costs: use 99,999.99 or less. ","")))))&amp;IF(SettingsOK,"","Settings incomplete.")))</f>
        <v/>
      </c>
      <c r="T21" s="23" t="str">
        <f aca="false">IF(AND($A21="",$B21="",$C21="",$D21="",$E21="",$F21="",$G21="",$H21=""),"",IF(Review!$B$5="Check inputs",IF($R21="Check inputs",ROW(),""),IF($R21="Check inputs",IF(Review!$B$5="All accounts",-2000000000000000+ROW(),""),IF(AND(Review!$B$5="Needs review",$R21="Meets your target"),"",IF($R21="No fee entered",-1000000000000000+ROW(),$N21/$B21+ROW()/1000000000)))))</f>
        <v/>
      </c>
    </row>
    <row r="22" customFormat="false" ht="15" hidden="false" customHeight="false" outlineLevel="0" collapsed="false">
      <c r="A22" s="14"/>
      <c r="B22" s="15"/>
      <c r="C22" s="16"/>
      <c r="D22" s="14"/>
      <c r="E22" s="14"/>
      <c r="F22" s="14"/>
      <c r="G22" s="15"/>
      <c r="H22" s="15"/>
      <c r="I22" s="17" t="str">
        <f aca="false">IF(OR(AND($A22="",$B22="",$C22="",$D22="",$E22="",$F22="",$G22="",$H22=""),NOT($S22="")),"",ROUND($C22*($D22+$E22)/60,4))</f>
        <v/>
      </c>
      <c r="J22" s="18" t="str">
        <f aca="false">IF(OR(AND($A22="",$B22="",$C22="",$D22="",$E22="",$F22="",$G22="",$H22=""),NOT($S22="")),"",ROUND(ROUND($C22*($D22+$E22)/60*$B$5,9),2))</f>
        <v/>
      </c>
      <c r="K22" s="18" t="str">
        <f aca="false">IF(OR(AND($A22="",$B22="",$C22="",$D22="",$E22="",$F22="",$G22="",$H22=""),NOT($S22="")),"",ROUND(ROUND($C22*$F22*$B$6,9),2))</f>
        <v/>
      </c>
      <c r="L22" s="18" t="str">
        <f aca="false">IF(OR(AND($A22="",$B22="",$C22="",$D22="",$E22="",$F22="",$G22="",$H22=""),NOT($S22="")),"",ROUND(ROUND($C22*$G22,9),2))</f>
        <v/>
      </c>
      <c r="M22" s="19" t="str">
        <f aca="false">IF(OR(AND($A22="",$B22="",$C22="",$D22="",$E22="",$F22="",$G22="",$H22=""),NOT($S22="")),"",ROUND($J22+$K22+$L22+$H22,2))</f>
        <v/>
      </c>
      <c r="N22" s="19" t="str">
        <f aca="false">IF(OR(AND($A22="",$B22="",$C22="",$D22="",$E22="",$F22="",$G22="",$H22=""),NOT($S22="")),"",ROUND($B22-$M22,2))</f>
        <v/>
      </c>
      <c r="O22" s="20" t="str">
        <f aca="false">IF(OR(AND($A22="",$B22="",$C22="",$D22="",$E22="",$F22="",$G22="",$H22=""),NOT($S22="")),"",IF($B22=0,"n/a",INT(ROUND($N22/$B22*10000,6))/10000))</f>
        <v/>
      </c>
      <c r="P22" s="18" t="str">
        <f aca="false">IF(OR(AND($A22="",$B22="",$C22="",$D22="",$E22="",$F22="",$G22="",$H22=""),NOT($S22="")),"",ROUNDUP(ROUND($M22*10000/(10000-TargetH),9),2))</f>
        <v/>
      </c>
      <c r="Q22" s="18" t="str">
        <f aca="false">IF(OR(AND($A22="",$B22="",$C22="",$D22="",$E22="",$F22="",$G22="",$H22=""),NOT($S22="")),"",MAX(0,ROUND($P22-$B22,2)))</f>
        <v/>
      </c>
      <c r="R22" s="21" t="str">
        <f aca="false">IF(AND($A22="",$B22="",$C22="",$D22="",$E22="",$F22="",$G22="",$H22=""),"",IF(NOT($S22=""),"Check inputs",IF($B22=0,"No fee entered",IF($N22&lt;0,"Losing money on entered costs",IF(ROUND($N22*100,0)*10000&lt;TargetH*ROUND($B22*100,0),"Below your target","Meets your target")))))</f>
        <v/>
      </c>
      <c r="S22" s="22" t="str">
        <f aca="false">IF(AND($A22="",$B22="",$C22="",$D22="",$E22="",$F22="",$G22="",$H22=""),"",TRIM(IF($A22="","Customer/site label is missing. ","")&amp;IF($B22="","Monthly fee is missing. ",IF(NOT(ISNUMBER($B22)),"Monthly fee must be a number. ",IF($B22&lt;0,"Monthly fee can't be negative. ",IF(ROUND($B22,2)&lt;&gt;$B22,"Monthly fee: use up to 2 decimal places. ",IF($B22&gt;99999.99,"Monthly fee: use 99,999.99 or less. ","")))))&amp;IF($C22="","Visits per month is missing. ",IF(NOT(ISNUMBER($C22)),"Visits per month must be a number. ",IF($C22&lt;0,"Visits per month can't be negative. ",IF(ROUND($C22,3)&lt;&gt;$C22,"Visits per month: use up to 3 decimal places. ",IF($C22=0,"Visits per month must be more than 0. ",IF($C22&gt;31,"Visits per month: use 31 or less. ",""))))))&amp;IF($D22="","Service minutes per visit is missing. ",IF(NOT(ISNUMBER($D22)),"Service minutes per visit must be a number. ",IF($D22&lt;0,"Service minutes per visit can't be negative. ",IF(ROUND($D22,2)&lt;&gt;$D22,"Service minutes per visit: use up to 2 decimal places. ",IF($D22=0,"Service minutes per visit must be more than 0. ",IF($D22&gt;600,"Service minutes per visit: use 600 or less. ",""))))))&amp;IF($E22="","Drive minutes per visit is missing. ",IF(NOT(ISNUMBER($E22)),"Drive minutes per visit must be a number. ",IF($E22&lt;0,"Drive minutes per visit can't be negative. ",IF(ROUND($E22,2)&lt;&gt;$E22,"Drive minutes per visit: use up to 2 decimal places. ",IF($E22&gt;600,"Drive minutes per visit: use 600 or less. ","")))))&amp;IF($F22="","Drive miles per visit is missing. ",IF(NOT(ISNUMBER($F22)),"Drive miles per visit must be a number. ",IF($F22&lt;0,"Drive miles per visit can't be negative. ",IF(ROUND($F22,2)&lt;&gt;$F22,"Drive miles per visit: use up to 2 decimal places. ",IF($F22&gt;1000,"Drive miles per visit: use 1,000 or less. ","")))))&amp;IF($G22="","Chemicals per visit is missing. ",IF(NOT(ISNUMBER($G22)),"Chemicals per visit must be a number. ",IF($G22&lt;0,"Chemicals per visit can't be negative. ",IF(ROUND($G22,2)&lt;&gt;$G22,"Chemicals per visit: use up to 2 decimal places. ",IF($G22&gt;9999.99,"Chemicals per visit: use 9,999.99 or less. ","")))))&amp;IF($H22="","Other monthly costs is missing. ",IF(NOT(ISNUMBER($H22)),"Other monthly costs must be a number. ",IF($H22&lt;0,"Other monthly costs can't be negative. ",IF(ROUND($H22,2)&lt;&gt;$H22,"Other monthly costs: use up to 2 decimal places. ",IF($H22&gt;99999.99,"Other monthly costs: use 99,999.99 or less. ","")))))&amp;IF(SettingsOK,"","Settings incomplete.")))</f>
        <v/>
      </c>
      <c r="T22" s="23" t="str">
        <f aca="false">IF(AND($A22="",$B22="",$C22="",$D22="",$E22="",$F22="",$G22="",$H22=""),"",IF(Review!$B$5="Check inputs",IF($R22="Check inputs",ROW(),""),IF($R22="Check inputs",IF(Review!$B$5="All accounts",-2000000000000000+ROW(),""),IF(AND(Review!$B$5="Needs review",$R22="Meets your target"),"",IF($R22="No fee entered",-1000000000000000+ROW(),$N22/$B22+ROW()/1000000000)))))</f>
        <v/>
      </c>
    </row>
    <row r="23" customFormat="false" ht="15" hidden="false" customHeight="false" outlineLevel="0" collapsed="false">
      <c r="A23" s="14"/>
      <c r="B23" s="15"/>
      <c r="C23" s="16"/>
      <c r="D23" s="14"/>
      <c r="E23" s="14"/>
      <c r="F23" s="14"/>
      <c r="G23" s="15"/>
      <c r="H23" s="15"/>
      <c r="I23" s="17" t="str">
        <f aca="false">IF(OR(AND($A23="",$B23="",$C23="",$D23="",$E23="",$F23="",$G23="",$H23=""),NOT($S23="")),"",ROUND($C23*($D23+$E23)/60,4))</f>
        <v/>
      </c>
      <c r="J23" s="18" t="str">
        <f aca="false">IF(OR(AND($A23="",$B23="",$C23="",$D23="",$E23="",$F23="",$G23="",$H23=""),NOT($S23="")),"",ROUND(ROUND($C23*($D23+$E23)/60*$B$5,9),2))</f>
        <v/>
      </c>
      <c r="K23" s="18" t="str">
        <f aca="false">IF(OR(AND($A23="",$B23="",$C23="",$D23="",$E23="",$F23="",$G23="",$H23=""),NOT($S23="")),"",ROUND(ROUND($C23*$F23*$B$6,9),2))</f>
        <v/>
      </c>
      <c r="L23" s="18" t="str">
        <f aca="false">IF(OR(AND($A23="",$B23="",$C23="",$D23="",$E23="",$F23="",$G23="",$H23=""),NOT($S23="")),"",ROUND(ROUND($C23*$G23,9),2))</f>
        <v/>
      </c>
      <c r="M23" s="19" t="str">
        <f aca="false">IF(OR(AND($A23="",$B23="",$C23="",$D23="",$E23="",$F23="",$G23="",$H23=""),NOT($S23="")),"",ROUND($J23+$K23+$L23+$H23,2))</f>
        <v/>
      </c>
      <c r="N23" s="19" t="str">
        <f aca="false">IF(OR(AND($A23="",$B23="",$C23="",$D23="",$E23="",$F23="",$G23="",$H23=""),NOT($S23="")),"",ROUND($B23-$M23,2))</f>
        <v/>
      </c>
      <c r="O23" s="20" t="str">
        <f aca="false">IF(OR(AND($A23="",$B23="",$C23="",$D23="",$E23="",$F23="",$G23="",$H23=""),NOT($S23="")),"",IF($B23=0,"n/a",INT(ROUND($N23/$B23*10000,6))/10000))</f>
        <v/>
      </c>
      <c r="P23" s="18" t="str">
        <f aca="false">IF(OR(AND($A23="",$B23="",$C23="",$D23="",$E23="",$F23="",$G23="",$H23=""),NOT($S23="")),"",ROUNDUP(ROUND($M23*10000/(10000-TargetH),9),2))</f>
        <v/>
      </c>
      <c r="Q23" s="18" t="str">
        <f aca="false">IF(OR(AND($A23="",$B23="",$C23="",$D23="",$E23="",$F23="",$G23="",$H23=""),NOT($S23="")),"",MAX(0,ROUND($P23-$B23,2)))</f>
        <v/>
      </c>
      <c r="R23" s="21" t="str">
        <f aca="false">IF(AND($A23="",$B23="",$C23="",$D23="",$E23="",$F23="",$G23="",$H23=""),"",IF(NOT($S23=""),"Check inputs",IF($B23=0,"No fee entered",IF($N23&lt;0,"Losing money on entered costs",IF(ROUND($N23*100,0)*10000&lt;TargetH*ROUND($B23*100,0),"Below your target","Meets your target")))))</f>
        <v/>
      </c>
      <c r="S23" s="22" t="str">
        <f aca="false">IF(AND($A23="",$B23="",$C23="",$D23="",$E23="",$F23="",$G23="",$H23=""),"",TRIM(IF($A23="","Customer/site label is missing. ","")&amp;IF($B23="","Monthly fee is missing. ",IF(NOT(ISNUMBER($B23)),"Monthly fee must be a number. ",IF($B23&lt;0,"Monthly fee can't be negative. ",IF(ROUND($B23,2)&lt;&gt;$B23,"Monthly fee: use up to 2 decimal places. ",IF($B23&gt;99999.99,"Monthly fee: use 99,999.99 or less. ","")))))&amp;IF($C23="","Visits per month is missing. ",IF(NOT(ISNUMBER($C23)),"Visits per month must be a number. ",IF($C23&lt;0,"Visits per month can't be negative. ",IF(ROUND($C23,3)&lt;&gt;$C23,"Visits per month: use up to 3 decimal places. ",IF($C23=0,"Visits per month must be more than 0. ",IF($C23&gt;31,"Visits per month: use 31 or less. ",""))))))&amp;IF($D23="","Service minutes per visit is missing. ",IF(NOT(ISNUMBER($D23)),"Service minutes per visit must be a number. ",IF($D23&lt;0,"Service minutes per visit can't be negative. ",IF(ROUND($D23,2)&lt;&gt;$D23,"Service minutes per visit: use up to 2 decimal places. ",IF($D23=0,"Service minutes per visit must be more than 0. ",IF($D23&gt;600,"Service minutes per visit: use 600 or less. ",""))))))&amp;IF($E23="","Drive minutes per visit is missing. ",IF(NOT(ISNUMBER($E23)),"Drive minutes per visit must be a number. ",IF($E23&lt;0,"Drive minutes per visit can't be negative. ",IF(ROUND($E23,2)&lt;&gt;$E23,"Drive minutes per visit: use up to 2 decimal places. ",IF($E23&gt;600,"Drive minutes per visit: use 600 or less. ","")))))&amp;IF($F23="","Drive miles per visit is missing. ",IF(NOT(ISNUMBER($F23)),"Drive miles per visit must be a number. ",IF($F23&lt;0,"Drive miles per visit can't be negative. ",IF(ROUND($F23,2)&lt;&gt;$F23,"Drive miles per visit: use up to 2 decimal places. ",IF($F23&gt;1000,"Drive miles per visit: use 1,000 or less. ","")))))&amp;IF($G23="","Chemicals per visit is missing. ",IF(NOT(ISNUMBER($G23)),"Chemicals per visit must be a number. ",IF($G23&lt;0,"Chemicals per visit can't be negative. ",IF(ROUND($G23,2)&lt;&gt;$G23,"Chemicals per visit: use up to 2 decimal places. ",IF($G23&gt;9999.99,"Chemicals per visit: use 9,999.99 or less. ","")))))&amp;IF($H23="","Other monthly costs is missing. ",IF(NOT(ISNUMBER($H23)),"Other monthly costs must be a number. ",IF($H23&lt;0,"Other monthly costs can't be negative. ",IF(ROUND($H23,2)&lt;&gt;$H23,"Other monthly costs: use up to 2 decimal places. ",IF($H23&gt;99999.99,"Other monthly costs: use 99,999.99 or less. ","")))))&amp;IF(SettingsOK,"","Settings incomplete.")))</f>
        <v/>
      </c>
      <c r="T23" s="23" t="str">
        <f aca="false">IF(AND($A23="",$B23="",$C23="",$D23="",$E23="",$F23="",$G23="",$H23=""),"",IF(Review!$B$5="Check inputs",IF($R23="Check inputs",ROW(),""),IF($R23="Check inputs",IF(Review!$B$5="All accounts",-2000000000000000+ROW(),""),IF(AND(Review!$B$5="Needs review",$R23="Meets your target"),"",IF($R23="No fee entered",-1000000000000000+ROW(),$N23/$B23+ROW()/1000000000)))))</f>
        <v/>
      </c>
    </row>
    <row r="24" customFormat="false" ht="15" hidden="false" customHeight="false" outlineLevel="0" collapsed="false">
      <c r="A24" s="14"/>
      <c r="B24" s="15"/>
      <c r="C24" s="16"/>
      <c r="D24" s="14"/>
      <c r="E24" s="14"/>
      <c r="F24" s="14"/>
      <c r="G24" s="15"/>
      <c r="H24" s="15"/>
      <c r="I24" s="17" t="str">
        <f aca="false">IF(OR(AND($A24="",$B24="",$C24="",$D24="",$E24="",$F24="",$G24="",$H24=""),NOT($S24="")),"",ROUND($C24*($D24+$E24)/60,4))</f>
        <v/>
      </c>
      <c r="J24" s="18" t="str">
        <f aca="false">IF(OR(AND($A24="",$B24="",$C24="",$D24="",$E24="",$F24="",$G24="",$H24=""),NOT($S24="")),"",ROUND(ROUND($C24*($D24+$E24)/60*$B$5,9),2))</f>
        <v/>
      </c>
      <c r="K24" s="18" t="str">
        <f aca="false">IF(OR(AND($A24="",$B24="",$C24="",$D24="",$E24="",$F24="",$G24="",$H24=""),NOT($S24="")),"",ROUND(ROUND($C24*$F24*$B$6,9),2))</f>
        <v/>
      </c>
      <c r="L24" s="18" t="str">
        <f aca="false">IF(OR(AND($A24="",$B24="",$C24="",$D24="",$E24="",$F24="",$G24="",$H24=""),NOT($S24="")),"",ROUND(ROUND($C24*$G24,9),2))</f>
        <v/>
      </c>
      <c r="M24" s="19" t="str">
        <f aca="false">IF(OR(AND($A24="",$B24="",$C24="",$D24="",$E24="",$F24="",$G24="",$H24=""),NOT($S24="")),"",ROUND($J24+$K24+$L24+$H24,2))</f>
        <v/>
      </c>
      <c r="N24" s="19" t="str">
        <f aca="false">IF(OR(AND($A24="",$B24="",$C24="",$D24="",$E24="",$F24="",$G24="",$H24=""),NOT($S24="")),"",ROUND($B24-$M24,2))</f>
        <v/>
      </c>
      <c r="O24" s="20" t="str">
        <f aca="false">IF(OR(AND($A24="",$B24="",$C24="",$D24="",$E24="",$F24="",$G24="",$H24=""),NOT($S24="")),"",IF($B24=0,"n/a",INT(ROUND($N24/$B24*10000,6))/10000))</f>
        <v/>
      </c>
      <c r="P24" s="18" t="str">
        <f aca="false">IF(OR(AND($A24="",$B24="",$C24="",$D24="",$E24="",$F24="",$G24="",$H24=""),NOT($S24="")),"",ROUNDUP(ROUND($M24*10000/(10000-TargetH),9),2))</f>
        <v/>
      </c>
      <c r="Q24" s="18" t="str">
        <f aca="false">IF(OR(AND($A24="",$B24="",$C24="",$D24="",$E24="",$F24="",$G24="",$H24=""),NOT($S24="")),"",MAX(0,ROUND($P24-$B24,2)))</f>
        <v/>
      </c>
      <c r="R24" s="21" t="str">
        <f aca="false">IF(AND($A24="",$B24="",$C24="",$D24="",$E24="",$F24="",$G24="",$H24=""),"",IF(NOT($S24=""),"Check inputs",IF($B24=0,"No fee entered",IF($N24&lt;0,"Losing money on entered costs",IF(ROUND($N24*100,0)*10000&lt;TargetH*ROUND($B24*100,0),"Below your target","Meets your target")))))</f>
        <v/>
      </c>
      <c r="S24" s="22" t="str">
        <f aca="false">IF(AND($A24="",$B24="",$C24="",$D24="",$E24="",$F24="",$G24="",$H24=""),"",TRIM(IF($A24="","Customer/site label is missing. ","")&amp;IF($B24="","Monthly fee is missing. ",IF(NOT(ISNUMBER($B24)),"Monthly fee must be a number. ",IF($B24&lt;0,"Monthly fee can't be negative. ",IF(ROUND($B24,2)&lt;&gt;$B24,"Monthly fee: use up to 2 decimal places. ",IF($B24&gt;99999.99,"Monthly fee: use 99,999.99 or less. ","")))))&amp;IF($C24="","Visits per month is missing. ",IF(NOT(ISNUMBER($C24)),"Visits per month must be a number. ",IF($C24&lt;0,"Visits per month can't be negative. ",IF(ROUND($C24,3)&lt;&gt;$C24,"Visits per month: use up to 3 decimal places. ",IF($C24=0,"Visits per month must be more than 0. ",IF($C24&gt;31,"Visits per month: use 31 or less. ",""))))))&amp;IF($D24="","Service minutes per visit is missing. ",IF(NOT(ISNUMBER($D24)),"Service minutes per visit must be a number. ",IF($D24&lt;0,"Service minutes per visit can't be negative. ",IF(ROUND($D24,2)&lt;&gt;$D24,"Service minutes per visit: use up to 2 decimal places. ",IF($D24=0,"Service minutes per visit must be more than 0. ",IF($D24&gt;600,"Service minutes per visit: use 600 or less. ",""))))))&amp;IF($E24="","Drive minutes per visit is missing. ",IF(NOT(ISNUMBER($E24)),"Drive minutes per visit must be a number. ",IF($E24&lt;0,"Drive minutes per visit can't be negative. ",IF(ROUND($E24,2)&lt;&gt;$E24,"Drive minutes per visit: use up to 2 decimal places. ",IF($E24&gt;600,"Drive minutes per visit: use 600 or less. ","")))))&amp;IF($F24="","Drive miles per visit is missing. ",IF(NOT(ISNUMBER($F24)),"Drive miles per visit must be a number. ",IF($F24&lt;0,"Drive miles per visit can't be negative. ",IF(ROUND($F24,2)&lt;&gt;$F24,"Drive miles per visit: use up to 2 decimal places. ",IF($F24&gt;1000,"Drive miles per visit: use 1,000 or less. ","")))))&amp;IF($G24="","Chemicals per visit is missing. ",IF(NOT(ISNUMBER($G24)),"Chemicals per visit must be a number. ",IF($G24&lt;0,"Chemicals per visit can't be negative. ",IF(ROUND($G24,2)&lt;&gt;$G24,"Chemicals per visit: use up to 2 decimal places. ",IF($G24&gt;9999.99,"Chemicals per visit: use 9,999.99 or less. ","")))))&amp;IF($H24="","Other monthly costs is missing. ",IF(NOT(ISNUMBER($H24)),"Other monthly costs must be a number. ",IF($H24&lt;0,"Other monthly costs can't be negative. ",IF(ROUND($H24,2)&lt;&gt;$H24,"Other monthly costs: use up to 2 decimal places. ",IF($H24&gt;99999.99,"Other monthly costs: use 99,999.99 or less. ","")))))&amp;IF(SettingsOK,"","Settings incomplete.")))</f>
        <v/>
      </c>
      <c r="T24" s="23" t="str">
        <f aca="false">IF(AND($A24="",$B24="",$C24="",$D24="",$E24="",$F24="",$G24="",$H24=""),"",IF(Review!$B$5="Check inputs",IF($R24="Check inputs",ROW(),""),IF($R24="Check inputs",IF(Review!$B$5="All accounts",-2000000000000000+ROW(),""),IF(AND(Review!$B$5="Needs review",$R24="Meets your target"),"",IF($R24="No fee entered",-1000000000000000+ROW(),$N24/$B24+ROW()/1000000000)))))</f>
        <v/>
      </c>
    </row>
    <row r="25" customFormat="false" ht="15" hidden="false" customHeight="false" outlineLevel="0" collapsed="false">
      <c r="A25" s="14"/>
      <c r="B25" s="15"/>
      <c r="C25" s="16"/>
      <c r="D25" s="14"/>
      <c r="E25" s="14"/>
      <c r="F25" s="14"/>
      <c r="G25" s="15"/>
      <c r="H25" s="15"/>
      <c r="I25" s="17" t="str">
        <f aca="false">IF(OR(AND($A25="",$B25="",$C25="",$D25="",$E25="",$F25="",$G25="",$H25=""),NOT($S25="")),"",ROUND($C25*($D25+$E25)/60,4))</f>
        <v/>
      </c>
      <c r="J25" s="18" t="str">
        <f aca="false">IF(OR(AND($A25="",$B25="",$C25="",$D25="",$E25="",$F25="",$G25="",$H25=""),NOT($S25="")),"",ROUND(ROUND($C25*($D25+$E25)/60*$B$5,9),2))</f>
        <v/>
      </c>
      <c r="K25" s="18" t="str">
        <f aca="false">IF(OR(AND($A25="",$B25="",$C25="",$D25="",$E25="",$F25="",$G25="",$H25=""),NOT($S25="")),"",ROUND(ROUND($C25*$F25*$B$6,9),2))</f>
        <v/>
      </c>
      <c r="L25" s="18" t="str">
        <f aca="false">IF(OR(AND($A25="",$B25="",$C25="",$D25="",$E25="",$F25="",$G25="",$H25=""),NOT($S25="")),"",ROUND(ROUND($C25*$G25,9),2))</f>
        <v/>
      </c>
      <c r="M25" s="19" t="str">
        <f aca="false">IF(OR(AND($A25="",$B25="",$C25="",$D25="",$E25="",$F25="",$G25="",$H25=""),NOT($S25="")),"",ROUND($J25+$K25+$L25+$H25,2))</f>
        <v/>
      </c>
      <c r="N25" s="19" t="str">
        <f aca="false">IF(OR(AND($A25="",$B25="",$C25="",$D25="",$E25="",$F25="",$G25="",$H25=""),NOT($S25="")),"",ROUND($B25-$M25,2))</f>
        <v/>
      </c>
      <c r="O25" s="20" t="str">
        <f aca="false">IF(OR(AND($A25="",$B25="",$C25="",$D25="",$E25="",$F25="",$G25="",$H25=""),NOT($S25="")),"",IF($B25=0,"n/a",INT(ROUND($N25/$B25*10000,6))/10000))</f>
        <v/>
      </c>
      <c r="P25" s="18" t="str">
        <f aca="false">IF(OR(AND($A25="",$B25="",$C25="",$D25="",$E25="",$F25="",$G25="",$H25=""),NOT($S25="")),"",ROUNDUP(ROUND($M25*10000/(10000-TargetH),9),2))</f>
        <v/>
      </c>
      <c r="Q25" s="18" t="str">
        <f aca="false">IF(OR(AND($A25="",$B25="",$C25="",$D25="",$E25="",$F25="",$G25="",$H25=""),NOT($S25="")),"",MAX(0,ROUND($P25-$B25,2)))</f>
        <v/>
      </c>
      <c r="R25" s="21" t="str">
        <f aca="false">IF(AND($A25="",$B25="",$C25="",$D25="",$E25="",$F25="",$G25="",$H25=""),"",IF(NOT($S25=""),"Check inputs",IF($B25=0,"No fee entered",IF($N25&lt;0,"Losing money on entered costs",IF(ROUND($N25*100,0)*10000&lt;TargetH*ROUND($B25*100,0),"Below your target","Meets your target")))))</f>
        <v/>
      </c>
      <c r="S25" s="22" t="str">
        <f aca="false">IF(AND($A25="",$B25="",$C25="",$D25="",$E25="",$F25="",$G25="",$H25=""),"",TRIM(IF($A25="","Customer/site label is missing. ","")&amp;IF($B25="","Monthly fee is missing. ",IF(NOT(ISNUMBER($B25)),"Monthly fee must be a number. ",IF($B25&lt;0,"Monthly fee can't be negative. ",IF(ROUND($B25,2)&lt;&gt;$B25,"Monthly fee: use up to 2 decimal places. ",IF($B25&gt;99999.99,"Monthly fee: use 99,999.99 or less. ","")))))&amp;IF($C25="","Visits per month is missing. ",IF(NOT(ISNUMBER($C25)),"Visits per month must be a number. ",IF($C25&lt;0,"Visits per month can't be negative. ",IF(ROUND($C25,3)&lt;&gt;$C25,"Visits per month: use up to 3 decimal places. ",IF($C25=0,"Visits per month must be more than 0. ",IF($C25&gt;31,"Visits per month: use 31 or less. ",""))))))&amp;IF($D25="","Service minutes per visit is missing. ",IF(NOT(ISNUMBER($D25)),"Service minutes per visit must be a number. ",IF($D25&lt;0,"Service minutes per visit can't be negative. ",IF(ROUND($D25,2)&lt;&gt;$D25,"Service minutes per visit: use up to 2 decimal places. ",IF($D25=0,"Service minutes per visit must be more than 0. ",IF($D25&gt;600,"Service minutes per visit: use 600 or less. ",""))))))&amp;IF($E25="","Drive minutes per visit is missing. ",IF(NOT(ISNUMBER($E25)),"Drive minutes per visit must be a number. ",IF($E25&lt;0,"Drive minutes per visit can't be negative. ",IF(ROUND($E25,2)&lt;&gt;$E25,"Drive minutes per visit: use up to 2 decimal places. ",IF($E25&gt;600,"Drive minutes per visit: use 600 or less. ","")))))&amp;IF($F25="","Drive miles per visit is missing. ",IF(NOT(ISNUMBER($F25)),"Drive miles per visit must be a number. ",IF($F25&lt;0,"Drive miles per visit can't be negative. ",IF(ROUND($F25,2)&lt;&gt;$F25,"Drive miles per visit: use up to 2 decimal places. ",IF($F25&gt;1000,"Drive miles per visit: use 1,000 or less. ","")))))&amp;IF($G25="","Chemicals per visit is missing. ",IF(NOT(ISNUMBER($G25)),"Chemicals per visit must be a number. ",IF($G25&lt;0,"Chemicals per visit can't be negative. ",IF(ROUND($G25,2)&lt;&gt;$G25,"Chemicals per visit: use up to 2 decimal places. ",IF($G25&gt;9999.99,"Chemicals per visit: use 9,999.99 or less. ","")))))&amp;IF($H25="","Other monthly costs is missing. ",IF(NOT(ISNUMBER($H25)),"Other monthly costs must be a number. ",IF($H25&lt;0,"Other monthly costs can't be negative. ",IF(ROUND($H25,2)&lt;&gt;$H25,"Other monthly costs: use up to 2 decimal places. ",IF($H25&gt;99999.99,"Other monthly costs: use 99,999.99 or less. ","")))))&amp;IF(SettingsOK,"","Settings incomplete.")))</f>
        <v/>
      </c>
      <c r="T25" s="23" t="str">
        <f aca="false">IF(AND($A25="",$B25="",$C25="",$D25="",$E25="",$F25="",$G25="",$H25=""),"",IF(Review!$B$5="Check inputs",IF($R25="Check inputs",ROW(),""),IF($R25="Check inputs",IF(Review!$B$5="All accounts",-2000000000000000+ROW(),""),IF(AND(Review!$B$5="Needs review",$R25="Meets your target"),"",IF($R25="No fee entered",-1000000000000000+ROW(),$N25/$B25+ROW()/1000000000)))))</f>
        <v/>
      </c>
    </row>
    <row r="26" customFormat="false" ht="15" hidden="false" customHeight="false" outlineLevel="0" collapsed="false">
      <c r="A26" s="14"/>
      <c r="B26" s="15"/>
      <c r="C26" s="16"/>
      <c r="D26" s="14"/>
      <c r="E26" s="14"/>
      <c r="F26" s="14"/>
      <c r="G26" s="15"/>
      <c r="H26" s="15"/>
      <c r="I26" s="17" t="str">
        <f aca="false">IF(OR(AND($A26="",$B26="",$C26="",$D26="",$E26="",$F26="",$G26="",$H26=""),NOT($S26="")),"",ROUND($C26*($D26+$E26)/60,4))</f>
        <v/>
      </c>
      <c r="J26" s="18" t="str">
        <f aca="false">IF(OR(AND($A26="",$B26="",$C26="",$D26="",$E26="",$F26="",$G26="",$H26=""),NOT($S26="")),"",ROUND(ROUND($C26*($D26+$E26)/60*$B$5,9),2))</f>
        <v/>
      </c>
      <c r="K26" s="18" t="str">
        <f aca="false">IF(OR(AND($A26="",$B26="",$C26="",$D26="",$E26="",$F26="",$G26="",$H26=""),NOT($S26="")),"",ROUND(ROUND($C26*$F26*$B$6,9),2))</f>
        <v/>
      </c>
      <c r="L26" s="18" t="str">
        <f aca="false">IF(OR(AND($A26="",$B26="",$C26="",$D26="",$E26="",$F26="",$G26="",$H26=""),NOT($S26="")),"",ROUND(ROUND($C26*$G26,9),2))</f>
        <v/>
      </c>
      <c r="M26" s="19" t="str">
        <f aca="false">IF(OR(AND($A26="",$B26="",$C26="",$D26="",$E26="",$F26="",$G26="",$H26=""),NOT($S26="")),"",ROUND($J26+$K26+$L26+$H26,2))</f>
        <v/>
      </c>
      <c r="N26" s="19" t="str">
        <f aca="false">IF(OR(AND($A26="",$B26="",$C26="",$D26="",$E26="",$F26="",$G26="",$H26=""),NOT($S26="")),"",ROUND($B26-$M26,2))</f>
        <v/>
      </c>
      <c r="O26" s="20" t="str">
        <f aca="false">IF(OR(AND($A26="",$B26="",$C26="",$D26="",$E26="",$F26="",$G26="",$H26=""),NOT($S26="")),"",IF($B26=0,"n/a",INT(ROUND($N26/$B26*10000,6))/10000))</f>
        <v/>
      </c>
      <c r="P26" s="18" t="str">
        <f aca="false">IF(OR(AND($A26="",$B26="",$C26="",$D26="",$E26="",$F26="",$G26="",$H26=""),NOT($S26="")),"",ROUNDUP(ROUND($M26*10000/(10000-TargetH),9),2))</f>
        <v/>
      </c>
      <c r="Q26" s="18" t="str">
        <f aca="false">IF(OR(AND($A26="",$B26="",$C26="",$D26="",$E26="",$F26="",$G26="",$H26=""),NOT($S26="")),"",MAX(0,ROUND($P26-$B26,2)))</f>
        <v/>
      </c>
      <c r="R26" s="21" t="str">
        <f aca="false">IF(AND($A26="",$B26="",$C26="",$D26="",$E26="",$F26="",$G26="",$H26=""),"",IF(NOT($S26=""),"Check inputs",IF($B26=0,"No fee entered",IF($N26&lt;0,"Losing money on entered costs",IF(ROUND($N26*100,0)*10000&lt;TargetH*ROUND($B26*100,0),"Below your target","Meets your target")))))</f>
        <v/>
      </c>
      <c r="S26" s="22" t="str">
        <f aca="false">IF(AND($A26="",$B26="",$C26="",$D26="",$E26="",$F26="",$G26="",$H26=""),"",TRIM(IF($A26="","Customer/site label is missing. ","")&amp;IF($B26="","Monthly fee is missing. ",IF(NOT(ISNUMBER($B26)),"Monthly fee must be a number. ",IF($B26&lt;0,"Monthly fee can't be negative. ",IF(ROUND($B26,2)&lt;&gt;$B26,"Monthly fee: use up to 2 decimal places. ",IF($B26&gt;99999.99,"Monthly fee: use 99,999.99 or less. ","")))))&amp;IF($C26="","Visits per month is missing. ",IF(NOT(ISNUMBER($C26)),"Visits per month must be a number. ",IF($C26&lt;0,"Visits per month can't be negative. ",IF(ROUND($C26,3)&lt;&gt;$C26,"Visits per month: use up to 3 decimal places. ",IF($C26=0,"Visits per month must be more than 0. ",IF($C26&gt;31,"Visits per month: use 31 or less. ",""))))))&amp;IF($D26="","Service minutes per visit is missing. ",IF(NOT(ISNUMBER($D26)),"Service minutes per visit must be a number. ",IF($D26&lt;0,"Service minutes per visit can't be negative. ",IF(ROUND($D26,2)&lt;&gt;$D26,"Service minutes per visit: use up to 2 decimal places. ",IF($D26=0,"Service minutes per visit must be more than 0. ",IF($D26&gt;600,"Service minutes per visit: use 600 or less. ",""))))))&amp;IF($E26="","Drive minutes per visit is missing. ",IF(NOT(ISNUMBER($E26)),"Drive minutes per visit must be a number. ",IF($E26&lt;0,"Drive minutes per visit can't be negative. ",IF(ROUND($E26,2)&lt;&gt;$E26,"Drive minutes per visit: use up to 2 decimal places. ",IF($E26&gt;600,"Drive minutes per visit: use 600 or less. ","")))))&amp;IF($F26="","Drive miles per visit is missing. ",IF(NOT(ISNUMBER($F26)),"Drive miles per visit must be a number. ",IF($F26&lt;0,"Drive miles per visit can't be negative. ",IF(ROUND($F26,2)&lt;&gt;$F26,"Drive miles per visit: use up to 2 decimal places. ",IF($F26&gt;1000,"Drive miles per visit: use 1,000 or less. ","")))))&amp;IF($G26="","Chemicals per visit is missing. ",IF(NOT(ISNUMBER($G26)),"Chemicals per visit must be a number. ",IF($G26&lt;0,"Chemicals per visit can't be negative. ",IF(ROUND($G26,2)&lt;&gt;$G26,"Chemicals per visit: use up to 2 decimal places. ",IF($G26&gt;9999.99,"Chemicals per visit: use 9,999.99 or less. ","")))))&amp;IF($H26="","Other monthly costs is missing. ",IF(NOT(ISNUMBER($H26)),"Other monthly costs must be a number. ",IF($H26&lt;0,"Other monthly costs can't be negative. ",IF(ROUND($H26,2)&lt;&gt;$H26,"Other monthly costs: use up to 2 decimal places. ",IF($H26&gt;99999.99,"Other monthly costs: use 99,999.99 or less. ","")))))&amp;IF(SettingsOK,"","Settings incomplete.")))</f>
        <v/>
      </c>
      <c r="T26" s="23" t="str">
        <f aca="false">IF(AND($A26="",$B26="",$C26="",$D26="",$E26="",$F26="",$G26="",$H26=""),"",IF(Review!$B$5="Check inputs",IF($R26="Check inputs",ROW(),""),IF($R26="Check inputs",IF(Review!$B$5="All accounts",-2000000000000000+ROW(),""),IF(AND(Review!$B$5="Needs review",$R26="Meets your target"),"",IF($R26="No fee entered",-1000000000000000+ROW(),$N26/$B26+ROW()/1000000000)))))</f>
        <v/>
      </c>
    </row>
    <row r="27" customFormat="false" ht="15" hidden="false" customHeight="false" outlineLevel="0" collapsed="false">
      <c r="A27" s="14"/>
      <c r="B27" s="15"/>
      <c r="C27" s="16"/>
      <c r="D27" s="14"/>
      <c r="E27" s="14"/>
      <c r="F27" s="14"/>
      <c r="G27" s="15"/>
      <c r="H27" s="15"/>
      <c r="I27" s="17" t="str">
        <f aca="false">IF(OR(AND($A27="",$B27="",$C27="",$D27="",$E27="",$F27="",$G27="",$H27=""),NOT($S27="")),"",ROUND($C27*($D27+$E27)/60,4))</f>
        <v/>
      </c>
      <c r="J27" s="18" t="str">
        <f aca="false">IF(OR(AND($A27="",$B27="",$C27="",$D27="",$E27="",$F27="",$G27="",$H27=""),NOT($S27="")),"",ROUND(ROUND($C27*($D27+$E27)/60*$B$5,9),2))</f>
        <v/>
      </c>
      <c r="K27" s="18" t="str">
        <f aca="false">IF(OR(AND($A27="",$B27="",$C27="",$D27="",$E27="",$F27="",$G27="",$H27=""),NOT($S27="")),"",ROUND(ROUND($C27*$F27*$B$6,9),2))</f>
        <v/>
      </c>
      <c r="L27" s="18" t="str">
        <f aca="false">IF(OR(AND($A27="",$B27="",$C27="",$D27="",$E27="",$F27="",$G27="",$H27=""),NOT($S27="")),"",ROUND(ROUND($C27*$G27,9),2))</f>
        <v/>
      </c>
      <c r="M27" s="19" t="str">
        <f aca="false">IF(OR(AND($A27="",$B27="",$C27="",$D27="",$E27="",$F27="",$G27="",$H27=""),NOT($S27="")),"",ROUND($J27+$K27+$L27+$H27,2))</f>
        <v/>
      </c>
      <c r="N27" s="19" t="str">
        <f aca="false">IF(OR(AND($A27="",$B27="",$C27="",$D27="",$E27="",$F27="",$G27="",$H27=""),NOT($S27="")),"",ROUND($B27-$M27,2))</f>
        <v/>
      </c>
      <c r="O27" s="20" t="str">
        <f aca="false">IF(OR(AND($A27="",$B27="",$C27="",$D27="",$E27="",$F27="",$G27="",$H27=""),NOT($S27="")),"",IF($B27=0,"n/a",INT(ROUND($N27/$B27*10000,6))/10000))</f>
        <v/>
      </c>
      <c r="P27" s="18" t="str">
        <f aca="false">IF(OR(AND($A27="",$B27="",$C27="",$D27="",$E27="",$F27="",$G27="",$H27=""),NOT($S27="")),"",ROUNDUP(ROUND($M27*10000/(10000-TargetH),9),2))</f>
        <v/>
      </c>
      <c r="Q27" s="18" t="str">
        <f aca="false">IF(OR(AND($A27="",$B27="",$C27="",$D27="",$E27="",$F27="",$G27="",$H27=""),NOT($S27="")),"",MAX(0,ROUND($P27-$B27,2)))</f>
        <v/>
      </c>
      <c r="R27" s="21" t="str">
        <f aca="false">IF(AND($A27="",$B27="",$C27="",$D27="",$E27="",$F27="",$G27="",$H27=""),"",IF(NOT($S27=""),"Check inputs",IF($B27=0,"No fee entered",IF($N27&lt;0,"Losing money on entered costs",IF(ROUND($N27*100,0)*10000&lt;TargetH*ROUND($B27*100,0),"Below your target","Meets your target")))))</f>
        <v/>
      </c>
      <c r="S27" s="22" t="str">
        <f aca="false">IF(AND($A27="",$B27="",$C27="",$D27="",$E27="",$F27="",$G27="",$H27=""),"",TRIM(IF($A27="","Customer/site label is missing. ","")&amp;IF($B27="","Monthly fee is missing. ",IF(NOT(ISNUMBER($B27)),"Monthly fee must be a number. ",IF($B27&lt;0,"Monthly fee can't be negative. ",IF(ROUND($B27,2)&lt;&gt;$B27,"Monthly fee: use up to 2 decimal places. ",IF($B27&gt;99999.99,"Monthly fee: use 99,999.99 or less. ","")))))&amp;IF($C27="","Visits per month is missing. ",IF(NOT(ISNUMBER($C27)),"Visits per month must be a number. ",IF($C27&lt;0,"Visits per month can't be negative. ",IF(ROUND($C27,3)&lt;&gt;$C27,"Visits per month: use up to 3 decimal places. ",IF($C27=0,"Visits per month must be more than 0. ",IF($C27&gt;31,"Visits per month: use 31 or less. ",""))))))&amp;IF($D27="","Service minutes per visit is missing. ",IF(NOT(ISNUMBER($D27)),"Service minutes per visit must be a number. ",IF($D27&lt;0,"Service minutes per visit can't be negative. ",IF(ROUND($D27,2)&lt;&gt;$D27,"Service minutes per visit: use up to 2 decimal places. ",IF($D27=0,"Service minutes per visit must be more than 0. ",IF($D27&gt;600,"Service minutes per visit: use 600 or less. ",""))))))&amp;IF($E27="","Drive minutes per visit is missing. ",IF(NOT(ISNUMBER($E27)),"Drive minutes per visit must be a number. ",IF($E27&lt;0,"Drive minutes per visit can't be negative. ",IF(ROUND($E27,2)&lt;&gt;$E27,"Drive minutes per visit: use up to 2 decimal places. ",IF($E27&gt;600,"Drive minutes per visit: use 600 or less. ","")))))&amp;IF($F27="","Drive miles per visit is missing. ",IF(NOT(ISNUMBER($F27)),"Drive miles per visit must be a number. ",IF($F27&lt;0,"Drive miles per visit can't be negative. ",IF(ROUND($F27,2)&lt;&gt;$F27,"Drive miles per visit: use up to 2 decimal places. ",IF($F27&gt;1000,"Drive miles per visit: use 1,000 or less. ","")))))&amp;IF($G27="","Chemicals per visit is missing. ",IF(NOT(ISNUMBER($G27)),"Chemicals per visit must be a number. ",IF($G27&lt;0,"Chemicals per visit can't be negative. ",IF(ROUND($G27,2)&lt;&gt;$G27,"Chemicals per visit: use up to 2 decimal places. ",IF($G27&gt;9999.99,"Chemicals per visit: use 9,999.99 or less. ","")))))&amp;IF($H27="","Other monthly costs is missing. ",IF(NOT(ISNUMBER($H27)),"Other monthly costs must be a number. ",IF($H27&lt;0,"Other monthly costs can't be negative. ",IF(ROUND($H27,2)&lt;&gt;$H27,"Other monthly costs: use up to 2 decimal places. ",IF($H27&gt;99999.99,"Other monthly costs: use 99,999.99 or less. ","")))))&amp;IF(SettingsOK,"","Settings incomplete.")))</f>
        <v/>
      </c>
      <c r="T27" s="23" t="str">
        <f aca="false">IF(AND($A27="",$B27="",$C27="",$D27="",$E27="",$F27="",$G27="",$H27=""),"",IF(Review!$B$5="Check inputs",IF($R27="Check inputs",ROW(),""),IF($R27="Check inputs",IF(Review!$B$5="All accounts",-2000000000000000+ROW(),""),IF(AND(Review!$B$5="Needs review",$R27="Meets your target"),"",IF($R27="No fee entered",-1000000000000000+ROW(),$N27/$B27+ROW()/1000000000)))))</f>
        <v/>
      </c>
    </row>
    <row r="28" customFormat="false" ht="15" hidden="false" customHeight="false" outlineLevel="0" collapsed="false">
      <c r="A28" s="14"/>
      <c r="B28" s="15"/>
      <c r="C28" s="16"/>
      <c r="D28" s="14"/>
      <c r="E28" s="14"/>
      <c r="F28" s="14"/>
      <c r="G28" s="15"/>
      <c r="H28" s="15"/>
      <c r="I28" s="17" t="str">
        <f aca="false">IF(OR(AND($A28="",$B28="",$C28="",$D28="",$E28="",$F28="",$G28="",$H28=""),NOT($S28="")),"",ROUND($C28*($D28+$E28)/60,4))</f>
        <v/>
      </c>
      <c r="J28" s="18" t="str">
        <f aca="false">IF(OR(AND($A28="",$B28="",$C28="",$D28="",$E28="",$F28="",$G28="",$H28=""),NOT($S28="")),"",ROUND(ROUND($C28*($D28+$E28)/60*$B$5,9),2))</f>
        <v/>
      </c>
      <c r="K28" s="18" t="str">
        <f aca="false">IF(OR(AND($A28="",$B28="",$C28="",$D28="",$E28="",$F28="",$G28="",$H28=""),NOT($S28="")),"",ROUND(ROUND($C28*$F28*$B$6,9),2))</f>
        <v/>
      </c>
      <c r="L28" s="18" t="str">
        <f aca="false">IF(OR(AND($A28="",$B28="",$C28="",$D28="",$E28="",$F28="",$G28="",$H28=""),NOT($S28="")),"",ROUND(ROUND($C28*$G28,9),2))</f>
        <v/>
      </c>
      <c r="M28" s="19" t="str">
        <f aca="false">IF(OR(AND($A28="",$B28="",$C28="",$D28="",$E28="",$F28="",$G28="",$H28=""),NOT($S28="")),"",ROUND($J28+$K28+$L28+$H28,2))</f>
        <v/>
      </c>
      <c r="N28" s="19" t="str">
        <f aca="false">IF(OR(AND($A28="",$B28="",$C28="",$D28="",$E28="",$F28="",$G28="",$H28=""),NOT($S28="")),"",ROUND($B28-$M28,2))</f>
        <v/>
      </c>
      <c r="O28" s="20" t="str">
        <f aca="false">IF(OR(AND($A28="",$B28="",$C28="",$D28="",$E28="",$F28="",$G28="",$H28=""),NOT($S28="")),"",IF($B28=0,"n/a",INT(ROUND($N28/$B28*10000,6))/10000))</f>
        <v/>
      </c>
      <c r="P28" s="18" t="str">
        <f aca="false">IF(OR(AND($A28="",$B28="",$C28="",$D28="",$E28="",$F28="",$G28="",$H28=""),NOT($S28="")),"",ROUNDUP(ROUND($M28*10000/(10000-TargetH),9),2))</f>
        <v/>
      </c>
      <c r="Q28" s="18" t="str">
        <f aca="false">IF(OR(AND($A28="",$B28="",$C28="",$D28="",$E28="",$F28="",$G28="",$H28=""),NOT($S28="")),"",MAX(0,ROUND($P28-$B28,2)))</f>
        <v/>
      </c>
      <c r="R28" s="21" t="str">
        <f aca="false">IF(AND($A28="",$B28="",$C28="",$D28="",$E28="",$F28="",$G28="",$H28=""),"",IF(NOT($S28=""),"Check inputs",IF($B28=0,"No fee entered",IF($N28&lt;0,"Losing money on entered costs",IF(ROUND($N28*100,0)*10000&lt;TargetH*ROUND($B28*100,0),"Below your target","Meets your target")))))</f>
        <v/>
      </c>
      <c r="S28" s="22" t="str">
        <f aca="false">IF(AND($A28="",$B28="",$C28="",$D28="",$E28="",$F28="",$G28="",$H28=""),"",TRIM(IF($A28="","Customer/site label is missing. ","")&amp;IF($B28="","Monthly fee is missing. ",IF(NOT(ISNUMBER($B28)),"Monthly fee must be a number. ",IF($B28&lt;0,"Monthly fee can't be negative. ",IF(ROUND($B28,2)&lt;&gt;$B28,"Monthly fee: use up to 2 decimal places. ",IF($B28&gt;99999.99,"Monthly fee: use 99,999.99 or less. ","")))))&amp;IF($C28="","Visits per month is missing. ",IF(NOT(ISNUMBER($C28)),"Visits per month must be a number. ",IF($C28&lt;0,"Visits per month can't be negative. ",IF(ROUND($C28,3)&lt;&gt;$C28,"Visits per month: use up to 3 decimal places. ",IF($C28=0,"Visits per month must be more than 0. ",IF($C28&gt;31,"Visits per month: use 31 or less. ",""))))))&amp;IF($D28="","Service minutes per visit is missing. ",IF(NOT(ISNUMBER($D28)),"Service minutes per visit must be a number. ",IF($D28&lt;0,"Service minutes per visit can't be negative. ",IF(ROUND($D28,2)&lt;&gt;$D28,"Service minutes per visit: use up to 2 decimal places. ",IF($D28=0,"Service minutes per visit must be more than 0. ",IF($D28&gt;600,"Service minutes per visit: use 600 or less. ",""))))))&amp;IF($E28="","Drive minutes per visit is missing. ",IF(NOT(ISNUMBER($E28)),"Drive minutes per visit must be a number. ",IF($E28&lt;0,"Drive minutes per visit can't be negative. ",IF(ROUND($E28,2)&lt;&gt;$E28,"Drive minutes per visit: use up to 2 decimal places. ",IF($E28&gt;600,"Drive minutes per visit: use 600 or less. ","")))))&amp;IF($F28="","Drive miles per visit is missing. ",IF(NOT(ISNUMBER($F28)),"Drive miles per visit must be a number. ",IF($F28&lt;0,"Drive miles per visit can't be negative. ",IF(ROUND($F28,2)&lt;&gt;$F28,"Drive miles per visit: use up to 2 decimal places. ",IF($F28&gt;1000,"Drive miles per visit: use 1,000 or less. ","")))))&amp;IF($G28="","Chemicals per visit is missing. ",IF(NOT(ISNUMBER($G28)),"Chemicals per visit must be a number. ",IF($G28&lt;0,"Chemicals per visit can't be negative. ",IF(ROUND($G28,2)&lt;&gt;$G28,"Chemicals per visit: use up to 2 decimal places. ",IF($G28&gt;9999.99,"Chemicals per visit: use 9,999.99 or less. ","")))))&amp;IF($H28="","Other monthly costs is missing. ",IF(NOT(ISNUMBER($H28)),"Other monthly costs must be a number. ",IF($H28&lt;0,"Other monthly costs can't be negative. ",IF(ROUND($H28,2)&lt;&gt;$H28,"Other monthly costs: use up to 2 decimal places. ",IF($H28&gt;99999.99,"Other monthly costs: use 99,999.99 or less. ","")))))&amp;IF(SettingsOK,"","Settings incomplete.")))</f>
        <v/>
      </c>
      <c r="T28" s="23" t="str">
        <f aca="false">IF(AND($A28="",$B28="",$C28="",$D28="",$E28="",$F28="",$G28="",$H28=""),"",IF(Review!$B$5="Check inputs",IF($R28="Check inputs",ROW(),""),IF($R28="Check inputs",IF(Review!$B$5="All accounts",-2000000000000000+ROW(),""),IF(AND(Review!$B$5="Needs review",$R28="Meets your target"),"",IF($R28="No fee entered",-1000000000000000+ROW(),$N28/$B28+ROW()/1000000000)))))</f>
        <v/>
      </c>
    </row>
    <row r="29" customFormat="false" ht="15" hidden="false" customHeight="false" outlineLevel="0" collapsed="false">
      <c r="A29" s="14"/>
      <c r="B29" s="15"/>
      <c r="C29" s="16"/>
      <c r="D29" s="14"/>
      <c r="E29" s="14"/>
      <c r="F29" s="14"/>
      <c r="G29" s="15"/>
      <c r="H29" s="15"/>
      <c r="I29" s="17" t="str">
        <f aca="false">IF(OR(AND($A29="",$B29="",$C29="",$D29="",$E29="",$F29="",$G29="",$H29=""),NOT($S29="")),"",ROUND($C29*($D29+$E29)/60,4))</f>
        <v/>
      </c>
      <c r="J29" s="18" t="str">
        <f aca="false">IF(OR(AND($A29="",$B29="",$C29="",$D29="",$E29="",$F29="",$G29="",$H29=""),NOT($S29="")),"",ROUND(ROUND($C29*($D29+$E29)/60*$B$5,9),2))</f>
        <v/>
      </c>
      <c r="K29" s="18" t="str">
        <f aca="false">IF(OR(AND($A29="",$B29="",$C29="",$D29="",$E29="",$F29="",$G29="",$H29=""),NOT($S29="")),"",ROUND(ROUND($C29*$F29*$B$6,9),2))</f>
        <v/>
      </c>
      <c r="L29" s="18" t="str">
        <f aca="false">IF(OR(AND($A29="",$B29="",$C29="",$D29="",$E29="",$F29="",$G29="",$H29=""),NOT($S29="")),"",ROUND(ROUND($C29*$G29,9),2))</f>
        <v/>
      </c>
      <c r="M29" s="19" t="str">
        <f aca="false">IF(OR(AND($A29="",$B29="",$C29="",$D29="",$E29="",$F29="",$G29="",$H29=""),NOT($S29="")),"",ROUND($J29+$K29+$L29+$H29,2))</f>
        <v/>
      </c>
      <c r="N29" s="19" t="str">
        <f aca="false">IF(OR(AND($A29="",$B29="",$C29="",$D29="",$E29="",$F29="",$G29="",$H29=""),NOT($S29="")),"",ROUND($B29-$M29,2))</f>
        <v/>
      </c>
      <c r="O29" s="20" t="str">
        <f aca="false">IF(OR(AND($A29="",$B29="",$C29="",$D29="",$E29="",$F29="",$G29="",$H29=""),NOT($S29="")),"",IF($B29=0,"n/a",INT(ROUND($N29/$B29*10000,6))/10000))</f>
        <v/>
      </c>
      <c r="P29" s="18" t="str">
        <f aca="false">IF(OR(AND($A29="",$B29="",$C29="",$D29="",$E29="",$F29="",$G29="",$H29=""),NOT($S29="")),"",ROUNDUP(ROUND($M29*10000/(10000-TargetH),9),2))</f>
        <v/>
      </c>
      <c r="Q29" s="18" t="str">
        <f aca="false">IF(OR(AND($A29="",$B29="",$C29="",$D29="",$E29="",$F29="",$G29="",$H29=""),NOT($S29="")),"",MAX(0,ROUND($P29-$B29,2)))</f>
        <v/>
      </c>
      <c r="R29" s="21" t="str">
        <f aca="false">IF(AND($A29="",$B29="",$C29="",$D29="",$E29="",$F29="",$G29="",$H29=""),"",IF(NOT($S29=""),"Check inputs",IF($B29=0,"No fee entered",IF($N29&lt;0,"Losing money on entered costs",IF(ROUND($N29*100,0)*10000&lt;TargetH*ROUND($B29*100,0),"Below your target","Meets your target")))))</f>
        <v/>
      </c>
      <c r="S29" s="22" t="str">
        <f aca="false">IF(AND($A29="",$B29="",$C29="",$D29="",$E29="",$F29="",$G29="",$H29=""),"",TRIM(IF($A29="","Customer/site label is missing. ","")&amp;IF($B29="","Monthly fee is missing. ",IF(NOT(ISNUMBER($B29)),"Monthly fee must be a number. ",IF($B29&lt;0,"Monthly fee can't be negative. ",IF(ROUND($B29,2)&lt;&gt;$B29,"Monthly fee: use up to 2 decimal places. ",IF($B29&gt;99999.99,"Monthly fee: use 99,999.99 or less. ","")))))&amp;IF($C29="","Visits per month is missing. ",IF(NOT(ISNUMBER($C29)),"Visits per month must be a number. ",IF($C29&lt;0,"Visits per month can't be negative. ",IF(ROUND($C29,3)&lt;&gt;$C29,"Visits per month: use up to 3 decimal places. ",IF($C29=0,"Visits per month must be more than 0. ",IF($C29&gt;31,"Visits per month: use 31 or less. ",""))))))&amp;IF($D29="","Service minutes per visit is missing. ",IF(NOT(ISNUMBER($D29)),"Service minutes per visit must be a number. ",IF($D29&lt;0,"Service minutes per visit can't be negative. ",IF(ROUND($D29,2)&lt;&gt;$D29,"Service minutes per visit: use up to 2 decimal places. ",IF($D29=0,"Service minutes per visit must be more than 0. ",IF($D29&gt;600,"Service minutes per visit: use 600 or less. ",""))))))&amp;IF($E29="","Drive minutes per visit is missing. ",IF(NOT(ISNUMBER($E29)),"Drive minutes per visit must be a number. ",IF($E29&lt;0,"Drive minutes per visit can't be negative. ",IF(ROUND($E29,2)&lt;&gt;$E29,"Drive minutes per visit: use up to 2 decimal places. ",IF($E29&gt;600,"Drive minutes per visit: use 600 or less. ","")))))&amp;IF($F29="","Drive miles per visit is missing. ",IF(NOT(ISNUMBER($F29)),"Drive miles per visit must be a number. ",IF($F29&lt;0,"Drive miles per visit can't be negative. ",IF(ROUND($F29,2)&lt;&gt;$F29,"Drive miles per visit: use up to 2 decimal places. ",IF($F29&gt;1000,"Drive miles per visit: use 1,000 or less. ","")))))&amp;IF($G29="","Chemicals per visit is missing. ",IF(NOT(ISNUMBER($G29)),"Chemicals per visit must be a number. ",IF($G29&lt;0,"Chemicals per visit can't be negative. ",IF(ROUND($G29,2)&lt;&gt;$G29,"Chemicals per visit: use up to 2 decimal places. ",IF($G29&gt;9999.99,"Chemicals per visit: use 9,999.99 or less. ","")))))&amp;IF($H29="","Other monthly costs is missing. ",IF(NOT(ISNUMBER($H29)),"Other monthly costs must be a number. ",IF($H29&lt;0,"Other monthly costs can't be negative. ",IF(ROUND($H29,2)&lt;&gt;$H29,"Other monthly costs: use up to 2 decimal places. ",IF($H29&gt;99999.99,"Other monthly costs: use 99,999.99 or less. ","")))))&amp;IF(SettingsOK,"","Settings incomplete.")))</f>
        <v/>
      </c>
      <c r="T29" s="23" t="str">
        <f aca="false">IF(AND($A29="",$B29="",$C29="",$D29="",$E29="",$F29="",$G29="",$H29=""),"",IF(Review!$B$5="Check inputs",IF($R29="Check inputs",ROW(),""),IF($R29="Check inputs",IF(Review!$B$5="All accounts",-2000000000000000+ROW(),""),IF(AND(Review!$B$5="Needs review",$R29="Meets your target"),"",IF($R29="No fee entered",-1000000000000000+ROW(),$N29/$B29+ROW()/1000000000)))))</f>
        <v/>
      </c>
    </row>
    <row r="30" customFormat="false" ht="15" hidden="false" customHeight="false" outlineLevel="0" collapsed="false">
      <c r="A30" s="14"/>
      <c r="B30" s="15"/>
      <c r="C30" s="16"/>
      <c r="D30" s="14"/>
      <c r="E30" s="14"/>
      <c r="F30" s="14"/>
      <c r="G30" s="15"/>
      <c r="H30" s="15"/>
      <c r="I30" s="17" t="str">
        <f aca="false">IF(OR(AND($A30="",$B30="",$C30="",$D30="",$E30="",$F30="",$G30="",$H30=""),NOT($S30="")),"",ROUND($C30*($D30+$E30)/60,4))</f>
        <v/>
      </c>
      <c r="J30" s="18" t="str">
        <f aca="false">IF(OR(AND($A30="",$B30="",$C30="",$D30="",$E30="",$F30="",$G30="",$H30=""),NOT($S30="")),"",ROUND(ROUND($C30*($D30+$E30)/60*$B$5,9),2))</f>
        <v/>
      </c>
      <c r="K30" s="18" t="str">
        <f aca="false">IF(OR(AND($A30="",$B30="",$C30="",$D30="",$E30="",$F30="",$G30="",$H30=""),NOT($S30="")),"",ROUND(ROUND($C30*$F30*$B$6,9),2))</f>
        <v/>
      </c>
      <c r="L30" s="18" t="str">
        <f aca="false">IF(OR(AND($A30="",$B30="",$C30="",$D30="",$E30="",$F30="",$G30="",$H30=""),NOT($S30="")),"",ROUND(ROUND($C30*$G30,9),2))</f>
        <v/>
      </c>
      <c r="M30" s="19" t="str">
        <f aca="false">IF(OR(AND($A30="",$B30="",$C30="",$D30="",$E30="",$F30="",$G30="",$H30=""),NOT($S30="")),"",ROUND($J30+$K30+$L30+$H30,2))</f>
        <v/>
      </c>
      <c r="N30" s="19" t="str">
        <f aca="false">IF(OR(AND($A30="",$B30="",$C30="",$D30="",$E30="",$F30="",$G30="",$H30=""),NOT($S30="")),"",ROUND($B30-$M30,2))</f>
        <v/>
      </c>
      <c r="O30" s="20" t="str">
        <f aca="false">IF(OR(AND($A30="",$B30="",$C30="",$D30="",$E30="",$F30="",$G30="",$H30=""),NOT($S30="")),"",IF($B30=0,"n/a",INT(ROUND($N30/$B30*10000,6))/10000))</f>
        <v/>
      </c>
      <c r="P30" s="18" t="str">
        <f aca="false">IF(OR(AND($A30="",$B30="",$C30="",$D30="",$E30="",$F30="",$G30="",$H30=""),NOT($S30="")),"",ROUNDUP(ROUND($M30*10000/(10000-TargetH),9),2))</f>
        <v/>
      </c>
      <c r="Q30" s="18" t="str">
        <f aca="false">IF(OR(AND($A30="",$B30="",$C30="",$D30="",$E30="",$F30="",$G30="",$H30=""),NOT($S30="")),"",MAX(0,ROUND($P30-$B30,2)))</f>
        <v/>
      </c>
      <c r="R30" s="21" t="str">
        <f aca="false">IF(AND($A30="",$B30="",$C30="",$D30="",$E30="",$F30="",$G30="",$H30=""),"",IF(NOT($S30=""),"Check inputs",IF($B30=0,"No fee entered",IF($N30&lt;0,"Losing money on entered costs",IF(ROUND($N30*100,0)*10000&lt;TargetH*ROUND($B30*100,0),"Below your target","Meets your target")))))</f>
        <v/>
      </c>
      <c r="S30" s="22" t="str">
        <f aca="false">IF(AND($A30="",$B30="",$C30="",$D30="",$E30="",$F30="",$G30="",$H30=""),"",TRIM(IF($A30="","Customer/site label is missing. ","")&amp;IF($B30="","Monthly fee is missing. ",IF(NOT(ISNUMBER($B30)),"Monthly fee must be a number. ",IF($B30&lt;0,"Monthly fee can't be negative. ",IF(ROUND($B30,2)&lt;&gt;$B30,"Monthly fee: use up to 2 decimal places. ",IF($B30&gt;99999.99,"Monthly fee: use 99,999.99 or less. ","")))))&amp;IF($C30="","Visits per month is missing. ",IF(NOT(ISNUMBER($C30)),"Visits per month must be a number. ",IF($C30&lt;0,"Visits per month can't be negative. ",IF(ROUND($C30,3)&lt;&gt;$C30,"Visits per month: use up to 3 decimal places. ",IF($C30=0,"Visits per month must be more than 0. ",IF($C30&gt;31,"Visits per month: use 31 or less. ",""))))))&amp;IF($D30="","Service minutes per visit is missing. ",IF(NOT(ISNUMBER($D30)),"Service minutes per visit must be a number. ",IF($D30&lt;0,"Service minutes per visit can't be negative. ",IF(ROUND($D30,2)&lt;&gt;$D30,"Service minutes per visit: use up to 2 decimal places. ",IF($D30=0,"Service minutes per visit must be more than 0. ",IF($D30&gt;600,"Service minutes per visit: use 600 or less. ",""))))))&amp;IF($E30="","Drive minutes per visit is missing. ",IF(NOT(ISNUMBER($E30)),"Drive minutes per visit must be a number. ",IF($E30&lt;0,"Drive minutes per visit can't be negative. ",IF(ROUND($E30,2)&lt;&gt;$E30,"Drive minutes per visit: use up to 2 decimal places. ",IF($E30&gt;600,"Drive minutes per visit: use 600 or less. ","")))))&amp;IF($F30="","Drive miles per visit is missing. ",IF(NOT(ISNUMBER($F30)),"Drive miles per visit must be a number. ",IF($F30&lt;0,"Drive miles per visit can't be negative. ",IF(ROUND($F30,2)&lt;&gt;$F30,"Drive miles per visit: use up to 2 decimal places. ",IF($F30&gt;1000,"Drive miles per visit: use 1,000 or less. ","")))))&amp;IF($G30="","Chemicals per visit is missing. ",IF(NOT(ISNUMBER($G30)),"Chemicals per visit must be a number. ",IF($G30&lt;0,"Chemicals per visit can't be negative. ",IF(ROUND($G30,2)&lt;&gt;$G30,"Chemicals per visit: use up to 2 decimal places. ",IF($G30&gt;9999.99,"Chemicals per visit: use 9,999.99 or less. ","")))))&amp;IF($H30="","Other monthly costs is missing. ",IF(NOT(ISNUMBER($H30)),"Other monthly costs must be a number. ",IF($H30&lt;0,"Other monthly costs can't be negative. ",IF(ROUND($H30,2)&lt;&gt;$H30,"Other monthly costs: use up to 2 decimal places. ",IF($H30&gt;99999.99,"Other monthly costs: use 99,999.99 or less. ","")))))&amp;IF(SettingsOK,"","Settings incomplete.")))</f>
        <v/>
      </c>
      <c r="T30" s="23" t="str">
        <f aca="false">IF(AND($A30="",$B30="",$C30="",$D30="",$E30="",$F30="",$G30="",$H30=""),"",IF(Review!$B$5="Check inputs",IF($R30="Check inputs",ROW(),""),IF($R30="Check inputs",IF(Review!$B$5="All accounts",-2000000000000000+ROW(),""),IF(AND(Review!$B$5="Needs review",$R30="Meets your target"),"",IF($R30="No fee entered",-1000000000000000+ROW(),$N30/$B30+ROW()/1000000000)))))</f>
        <v/>
      </c>
    </row>
    <row r="31" customFormat="false" ht="15" hidden="false" customHeight="false" outlineLevel="0" collapsed="false">
      <c r="A31" s="14"/>
      <c r="B31" s="15"/>
      <c r="C31" s="16"/>
      <c r="D31" s="14"/>
      <c r="E31" s="14"/>
      <c r="F31" s="14"/>
      <c r="G31" s="15"/>
      <c r="H31" s="15"/>
      <c r="I31" s="17" t="str">
        <f aca="false">IF(OR(AND($A31="",$B31="",$C31="",$D31="",$E31="",$F31="",$G31="",$H31=""),NOT($S31="")),"",ROUND($C31*($D31+$E31)/60,4))</f>
        <v/>
      </c>
      <c r="J31" s="18" t="str">
        <f aca="false">IF(OR(AND($A31="",$B31="",$C31="",$D31="",$E31="",$F31="",$G31="",$H31=""),NOT($S31="")),"",ROUND(ROUND($C31*($D31+$E31)/60*$B$5,9),2))</f>
        <v/>
      </c>
      <c r="K31" s="18" t="str">
        <f aca="false">IF(OR(AND($A31="",$B31="",$C31="",$D31="",$E31="",$F31="",$G31="",$H31=""),NOT($S31="")),"",ROUND(ROUND($C31*$F31*$B$6,9),2))</f>
        <v/>
      </c>
      <c r="L31" s="18" t="str">
        <f aca="false">IF(OR(AND($A31="",$B31="",$C31="",$D31="",$E31="",$F31="",$G31="",$H31=""),NOT($S31="")),"",ROUND(ROUND($C31*$G31,9),2))</f>
        <v/>
      </c>
      <c r="M31" s="19" t="str">
        <f aca="false">IF(OR(AND($A31="",$B31="",$C31="",$D31="",$E31="",$F31="",$G31="",$H31=""),NOT($S31="")),"",ROUND($J31+$K31+$L31+$H31,2))</f>
        <v/>
      </c>
      <c r="N31" s="19" t="str">
        <f aca="false">IF(OR(AND($A31="",$B31="",$C31="",$D31="",$E31="",$F31="",$G31="",$H31=""),NOT($S31="")),"",ROUND($B31-$M31,2))</f>
        <v/>
      </c>
      <c r="O31" s="20" t="str">
        <f aca="false">IF(OR(AND($A31="",$B31="",$C31="",$D31="",$E31="",$F31="",$G31="",$H31=""),NOT($S31="")),"",IF($B31=0,"n/a",INT(ROUND($N31/$B31*10000,6))/10000))</f>
        <v/>
      </c>
      <c r="P31" s="18" t="str">
        <f aca="false">IF(OR(AND($A31="",$B31="",$C31="",$D31="",$E31="",$F31="",$G31="",$H31=""),NOT($S31="")),"",ROUNDUP(ROUND($M31*10000/(10000-TargetH),9),2))</f>
        <v/>
      </c>
      <c r="Q31" s="18" t="str">
        <f aca="false">IF(OR(AND($A31="",$B31="",$C31="",$D31="",$E31="",$F31="",$G31="",$H31=""),NOT($S31="")),"",MAX(0,ROUND($P31-$B31,2)))</f>
        <v/>
      </c>
      <c r="R31" s="21" t="str">
        <f aca="false">IF(AND($A31="",$B31="",$C31="",$D31="",$E31="",$F31="",$G31="",$H31=""),"",IF(NOT($S31=""),"Check inputs",IF($B31=0,"No fee entered",IF($N31&lt;0,"Losing money on entered costs",IF(ROUND($N31*100,0)*10000&lt;TargetH*ROUND($B31*100,0),"Below your target","Meets your target")))))</f>
        <v/>
      </c>
      <c r="S31" s="22" t="str">
        <f aca="false">IF(AND($A31="",$B31="",$C31="",$D31="",$E31="",$F31="",$G31="",$H31=""),"",TRIM(IF($A31="","Customer/site label is missing. ","")&amp;IF($B31="","Monthly fee is missing. ",IF(NOT(ISNUMBER($B31)),"Monthly fee must be a number. ",IF($B31&lt;0,"Monthly fee can't be negative. ",IF(ROUND($B31,2)&lt;&gt;$B31,"Monthly fee: use up to 2 decimal places. ",IF($B31&gt;99999.99,"Monthly fee: use 99,999.99 or less. ","")))))&amp;IF($C31="","Visits per month is missing. ",IF(NOT(ISNUMBER($C31)),"Visits per month must be a number. ",IF($C31&lt;0,"Visits per month can't be negative. ",IF(ROUND($C31,3)&lt;&gt;$C31,"Visits per month: use up to 3 decimal places. ",IF($C31=0,"Visits per month must be more than 0. ",IF($C31&gt;31,"Visits per month: use 31 or less. ",""))))))&amp;IF($D31="","Service minutes per visit is missing. ",IF(NOT(ISNUMBER($D31)),"Service minutes per visit must be a number. ",IF($D31&lt;0,"Service minutes per visit can't be negative. ",IF(ROUND($D31,2)&lt;&gt;$D31,"Service minutes per visit: use up to 2 decimal places. ",IF($D31=0,"Service minutes per visit must be more than 0. ",IF($D31&gt;600,"Service minutes per visit: use 600 or less. ",""))))))&amp;IF($E31="","Drive minutes per visit is missing. ",IF(NOT(ISNUMBER($E31)),"Drive minutes per visit must be a number. ",IF($E31&lt;0,"Drive minutes per visit can't be negative. ",IF(ROUND($E31,2)&lt;&gt;$E31,"Drive minutes per visit: use up to 2 decimal places. ",IF($E31&gt;600,"Drive minutes per visit: use 600 or less. ","")))))&amp;IF($F31="","Drive miles per visit is missing. ",IF(NOT(ISNUMBER($F31)),"Drive miles per visit must be a number. ",IF($F31&lt;0,"Drive miles per visit can't be negative. ",IF(ROUND($F31,2)&lt;&gt;$F31,"Drive miles per visit: use up to 2 decimal places. ",IF($F31&gt;1000,"Drive miles per visit: use 1,000 or less. ","")))))&amp;IF($G31="","Chemicals per visit is missing. ",IF(NOT(ISNUMBER($G31)),"Chemicals per visit must be a number. ",IF($G31&lt;0,"Chemicals per visit can't be negative. ",IF(ROUND($G31,2)&lt;&gt;$G31,"Chemicals per visit: use up to 2 decimal places. ",IF($G31&gt;9999.99,"Chemicals per visit: use 9,999.99 or less. ","")))))&amp;IF($H31="","Other monthly costs is missing. ",IF(NOT(ISNUMBER($H31)),"Other monthly costs must be a number. ",IF($H31&lt;0,"Other monthly costs can't be negative. ",IF(ROUND($H31,2)&lt;&gt;$H31,"Other monthly costs: use up to 2 decimal places. ",IF($H31&gt;99999.99,"Other monthly costs: use 99,999.99 or less. ","")))))&amp;IF(SettingsOK,"","Settings incomplete.")))</f>
        <v/>
      </c>
      <c r="T31" s="23" t="str">
        <f aca="false">IF(AND($A31="",$B31="",$C31="",$D31="",$E31="",$F31="",$G31="",$H31=""),"",IF(Review!$B$5="Check inputs",IF($R31="Check inputs",ROW(),""),IF($R31="Check inputs",IF(Review!$B$5="All accounts",-2000000000000000+ROW(),""),IF(AND(Review!$B$5="Needs review",$R31="Meets your target"),"",IF($R31="No fee entered",-1000000000000000+ROW(),$N31/$B31+ROW()/1000000000)))))</f>
        <v/>
      </c>
    </row>
    <row r="32" customFormat="false" ht="15" hidden="false" customHeight="false" outlineLevel="0" collapsed="false">
      <c r="A32" s="14"/>
      <c r="B32" s="15"/>
      <c r="C32" s="16"/>
      <c r="D32" s="14"/>
      <c r="E32" s="14"/>
      <c r="F32" s="14"/>
      <c r="G32" s="15"/>
      <c r="H32" s="15"/>
      <c r="I32" s="17" t="str">
        <f aca="false">IF(OR(AND($A32="",$B32="",$C32="",$D32="",$E32="",$F32="",$G32="",$H32=""),NOT($S32="")),"",ROUND($C32*($D32+$E32)/60,4))</f>
        <v/>
      </c>
      <c r="J32" s="18" t="str">
        <f aca="false">IF(OR(AND($A32="",$B32="",$C32="",$D32="",$E32="",$F32="",$G32="",$H32=""),NOT($S32="")),"",ROUND(ROUND($C32*($D32+$E32)/60*$B$5,9),2))</f>
        <v/>
      </c>
      <c r="K32" s="18" t="str">
        <f aca="false">IF(OR(AND($A32="",$B32="",$C32="",$D32="",$E32="",$F32="",$G32="",$H32=""),NOT($S32="")),"",ROUND(ROUND($C32*$F32*$B$6,9),2))</f>
        <v/>
      </c>
      <c r="L32" s="18" t="str">
        <f aca="false">IF(OR(AND($A32="",$B32="",$C32="",$D32="",$E32="",$F32="",$G32="",$H32=""),NOT($S32="")),"",ROUND(ROUND($C32*$G32,9),2))</f>
        <v/>
      </c>
      <c r="M32" s="19" t="str">
        <f aca="false">IF(OR(AND($A32="",$B32="",$C32="",$D32="",$E32="",$F32="",$G32="",$H32=""),NOT($S32="")),"",ROUND($J32+$K32+$L32+$H32,2))</f>
        <v/>
      </c>
      <c r="N32" s="19" t="str">
        <f aca="false">IF(OR(AND($A32="",$B32="",$C32="",$D32="",$E32="",$F32="",$G32="",$H32=""),NOT($S32="")),"",ROUND($B32-$M32,2))</f>
        <v/>
      </c>
      <c r="O32" s="20" t="str">
        <f aca="false">IF(OR(AND($A32="",$B32="",$C32="",$D32="",$E32="",$F32="",$G32="",$H32=""),NOT($S32="")),"",IF($B32=0,"n/a",INT(ROUND($N32/$B32*10000,6))/10000))</f>
        <v/>
      </c>
      <c r="P32" s="18" t="str">
        <f aca="false">IF(OR(AND($A32="",$B32="",$C32="",$D32="",$E32="",$F32="",$G32="",$H32=""),NOT($S32="")),"",ROUNDUP(ROUND($M32*10000/(10000-TargetH),9),2))</f>
        <v/>
      </c>
      <c r="Q32" s="18" t="str">
        <f aca="false">IF(OR(AND($A32="",$B32="",$C32="",$D32="",$E32="",$F32="",$G32="",$H32=""),NOT($S32="")),"",MAX(0,ROUND($P32-$B32,2)))</f>
        <v/>
      </c>
      <c r="R32" s="21" t="str">
        <f aca="false">IF(AND($A32="",$B32="",$C32="",$D32="",$E32="",$F32="",$G32="",$H32=""),"",IF(NOT($S32=""),"Check inputs",IF($B32=0,"No fee entered",IF($N32&lt;0,"Losing money on entered costs",IF(ROUND($N32*100,0)*10000&lt;TargetH*ROUND($B32*100,0),"Below your target","Meets your target")))))</f>
        <v/>
      </c>
      <c r="S32" s="22" t="str">
        <f aca="false">IF(AND($A32="",$B32="",$C32="",$D32="",$E32="",$F32="",$G32="",$H32=""),"",TRIM(IF($A32="","Customer/site label is missing. ","")&amp;IF($B32="","Monthly fee is missing. ",IF(NOT(ISNUMBER($B32)),"Monthly fee must be a number. ",IF($B32&lt;0,"Monthly fee can't be negative. ",IF(ROUND($B32,2)&lt;&gt;$B32,"Monthly fee: use up to 2 decimal places. ",IF($B32&gt;99999.99,"Monthly fee: use 99,999.99 or less. ","")))))&amp;IF($C32="","Visits per month is missing. ",IF(NOT(ISNUMBER($C32)),"Visits per month must be a number. ",IF($C32&lt;0,"Visits per month can't be negative. ",IF(ROUND($C32,3)&lt;&gt;$C32,"Visits per month: use up to 3 decimal places. ",IF($C32=0,"Visits per month must be more than 0. ",IF($C32&gt;31,"Visits per month: use 31 or less. ",""))))))&amp;IF($D32="","Service minutes per visit is missing. ",IF(NOT(ISNUMBER($D32)),"Service minutes per visit must be a number. ",IF($D32&lt;0,"Service minutes per visit can't be negative. ",IF(ROUND($D32,2)&lt;&gt;$D32,"Service minutes per visit: use up to 2 decimal places. ",IF($D32=0,"Service minutes per visit must be more than 0. ",IF($D32&gt;600,"Service minutes per visit: use 600 or less. ",""))))))&amp;IF($E32="","Drive minutes per visit is missing. ",IF(NOT(ISNUMBER($E32)),"Drive minutes per visit must be a number. ",IF($E32&lt;0,"Drive minutes per visit can't be negative. ",IF(ROUND($E32,2)&lt;&gt;$E32,"Drive minutes per visit: use up to 2 decimal places. ",IF($E32&gt;600,"Drive minutes per visit: use 600 or less. ","")))))&amp;IF($F32="","Drive miles per visit is missing. ",IF(NOT(ISNUMBER($F32)),"Drive miles per visit must be a number. ",IF($F32&lt;0,"Drive miles per visit can't be negative. ",IF(ROUND($F32,2)&lt;&gt;$F32,"Drive miles per visit: use up to 2 decimal places. ",IF($F32&gt;1000,"Drive miles per visit: use 1,000 or less. ","")))))&amp;IF($G32="","Chemicals per visit is missing. ",IF(NOT(ISNUMBER($G32)),"Chemicals per visit must be a number. ",IF($G32&lt;0,"Chemicals per visit can't be negative. ",IF(ROUND($G32,2)&lt;&gt;$G32,"Chemicals per visit: use up to 2 decimal places. ",IF($G32&gt;9999.99,"Chemicals per visit: use 9,999.99 or less. ","")))))&amp;IF($H32="","Other monthly costs is missing. ",IF(NOT(ISNUMBER($H32)),"Other monthly costs must be a number. ",IF($H32&lt;0,"Other monthly costs can't be negative. ",IF(ROUND($H32,2)&lt;&gt;$H32,"Other monthly costs: use up to 2 decimal places. ",IF($H32&gt;99999.99,"Other monthly costs: use 99,999.99 or less. ","")))))&amp;IF(SettingsOK,"","Settings incomplete.")))</f>
        <v/>
      </c>
      <c r="T32" s="23" t="str">
        <f aca="false">IF(AND($A32="",$B32="",$C32="",$D32="",$E32="",$F32="",$G32="",$H32=""),"",IF(Review!$B$5="Check inputs",IF($R32="Check inputs",ROW(),""),IF($R32="Check inputs",IF(Review!$B$5="All accounts",-2000000000000000+ROW(),""),IF(AND(Review!$B$5="Needs review",$R32="Meets your target"),"",IF($R32="No fee entered",-1000000000000000+ROW(),$N32/$B32+ROW()/1000000000)))))</f>
        <v/>
      </c>
    </row>
    <row r="33" customFormat="false" ht="15" hidden="false" customHeight="false" outlineLevel="0" collapsed="false">
      <c r="A33" s="14"/>
      <c r="B33" s="15"/>
      <c r="C33" s="16"/>
      <c r="D33" s="14"/>
      <c r="E33" s="14"/>
      <c r="F33" s="14"/>
      <c r="G33" s="15"/>
      <c r="H33" s="15"/>
      <c r="I33" s="17" t="str">
        <f aca="false">IF(OR(AND($A33="",$B33="",$C33="",$D33="",$E33="",$F33="",$G33="",$H33=""),NOT($S33="")),"",ROUND($C33*($D33+$E33)/60,4))</f>
        <v/>
      </c>
      <c r="J33" s="18" t="str">
        <f aca="false">IF(OR(AND($A33="",$B33="",$C33="",$D33="",$E33="",$F33="",$G33="",$H33=""),NOT($S33="")),"",ROUND(ROUND($C33*($D33+$E33)/60*$B$5,9),2))</f>
        <v/>
      </c>
      <c r="K33" s="18" t="str">
        <f aca="false">IF(OR(AND($A33="",$B33="",$C33="",$D33="",$E33="",$F33="",$G33="",$H33=""),NOT($S33="")),"",ROUND(ROUND($C33*$F33*$B$6,9),2))</f>
        <v/>
      </c>
      <c r="L33" s="18" t="str">
        <f aca="false">IF(OR(AND($A33="",$B33="",$C33="",$D33="",$E33="",$F33="",$G33="",$H33=""),NOT($S33="")),"",ROUND(ROUND($C33*$G33,9),2))</f>
        <v/>
      </c>
      <c r="M33" s="19" t="str">
        <f aca="false">IF(OR(AND($A33="",$B33="",$C33="",$D33="",$E33="",$F33="",$G33="",$H33=""),NOT($S33="")),"",ROUND($J33+$K33+$L33+$H33,2))</f>
        <v/>
      </c>
      <c r="N33" s="19" t="str">
        <f aca="false">IF(OR(AND($A33="",$B33="",$C33="",$D33="",$E33="",$F33="",$G33="",$H33=""),NOT($S33="")),"",ROUND($B33-$M33,2))</f>
        <v/>
      </c>
      <c r="O33" s="20" t="str">
        <f aca="false">IF(OR(AND($A33="",$B33="",$C33="",$D33="",$E33="",$F33="",$G33="",$H33=""),NOT($S33="")),"",IF($B33=0,"n/a",INT(ROUND($N33/$B33*10000,6))/10000))</f>
        <v/>
      </c>
      <c r="P33" s="18" t="str">
        <f aca="false">IF(OR(AND($A33="",$B33="",$C33="",$D33="",$E33="",$F33="",$G33="",$H33=""),NOT($S33="")),"",ROUNDUP(ROUND($M33*10000/(10000-TargetH),9),2))</f>
        <v/>
      </c>
      <c r="Q33" s="18" t="str">
        <f aca="false">IF(OR(AND($A33="",$B33="",$C33="",$D33="",$E33="",$F33="",$G33="",$H33=""),NOT($S33="")),"",MAX(0,ROUND($P33-$B33,2)))</f>
        <v/>
      </c>
      <c r="R33" s="21" t="str">
        <f aca="false">IF(AND($A33="",$B33="",$C33="",$D33="",$E33="",$F33="",$G33="",$H33=""),"",IF(NOT($S33=""),"Check inputs",IF($B33=0,"No fee entered",IF($N33&lt;0,"Losing money on entered costs",IF(ROUND($N33*100,0)*10000&lt;TargetH*ROUND($B33*100,0),"Below your target","Meets your target")))))</f>
        <v/>
      </c>
      <c r="S33" s="22" t="str">
        <f aca="false">IF(AND($A33="",$B33="",$C33="",$D33="",$E33="",$F33="",$G33="",$H33=""),"",TRIM(IF($A33="","Customer/site label is missing. ","")&amp;IF($B33="","Monthly fee is missing. ",IF(NOT(ISNUMBER($B33)),"Monthly fee must be a number. ",IF($B33&lt;0,"Monthly fee can't be negative. ",IF(ROUND($B33,2)&lt;&gt;$B33,"Monthly fee: use up to 2 decimal places. ",IF($B33&gt;99999.99,"Monthly fee: use 99,999.99 or less. ","")))))&amp;IF($C33="","Visits per month is missing. ",IF(NOT(ISNUMBER($C33)),"Visits per month must be a number. ",IF($C33&lt;0,"Visits per month can't be negative. ",IF(ROUND($C33,3)&lt;&gt;$C33,"Visits per month: use up to 3 decimal places. ",IF($C33=0,"Visits per month must be more than 0. ",IF($C33&gt;31,"Visits per month: use 31 or less. ",""))))))&amp;IF($D33="","Service minutes per visit is missing. ",IF(NOT(ISNUMBER($D33)),"Service minutes per visit must be a number. ",IF($D33&lt;0,"Service minutes per visit can't be negative. ",IF(ROUND($D33,2)&lt;&gt;$D33,"Service minutes per visit: use up to 2 decimal places. ",IF($D33=0,"Service minutes per visit must be more than 0. ",IF($D33&gt;600,"Service minutes per visit: use 600 or less. ",""))))))&amp;IF($E33="","Drive minutes per visit is missing. ",IF(NOT(ISNUMBER($E33)),"Drive minutes per visit must be a number. ",IF($E33&lt;0,"Drive minutes per visit can't be negative. ",IF(ROUND($E33,2)&lt;&gt;$E33,"Drive minutes per visit: use up to 2 decimal places. ",IF($E33&gt;600,"Drive minutes per visit: use 600 or less. ","")))))&amp;IF($F33="","Drive miles per visit is missing. ",IF(NOT(ISNUMBER($F33)),"Drive miles per visit must be a number. ",IF($F33&lt;0,"Drive miles per visit can't be negative. ",IF(ROUND($F33,2)&lt;&gt;$F33,"Drive miles per visit: use up to 2 decimal places. ",IF($F33&gt;1000,"Drive miles per visit: use 1,000 or less. ","")))))&amp;IF($G33="","Chemicals per visit is missing. ",IF(NOT(ISNUMBER($G33)),"Chemicals per visit must be a number. ",IF($G33&lt;0,"Chemicals per visit can't be negative. ",IF(ROUND($G33,2)&lt;&gt;$G33,"Chemicals per visit: use up to 2 decimal places. ",IF($G33&gt;9999.99,"Chemicals per visit: use 9,999.99 or less. ","")))))&amp;IF($H33="","Other monthly costs is missing. ",IF(NOT(ISNUMBER($H33)),"Other monthly costs must be a number. ",IF($H33&lt;0,"Other monthly costs can't be negative. ",IF(ROUND($H33,2)&lt;&gt;$H33,"Other monthly costs: use up to 2 decimal places. ",IF($H33&gt;99999.99,"Other monthly costs: use 99,999.99 or less. ","")))))&amp;IF(SettingsOK,"","Settings incomplete.")))</f>
        <v/>
      </c>
      <c r="T33" s="23" t="str">
        <f aca="false">IF(AND($A33="",$B33="",$C33="",$D33="",$E33="",$F33="",$G33="",$H33=""),"",IF(Review!$B$5="Check inputs",IF($R33="Check inputs",ROW(),""),IF($R33="Check inputs",IF(Review!$B$5="All accounts",-2000000000000000+ROW(),""),IF(AND(Review!$B$5="Needs review",$R33="Meets your target"),"",IF($R33="No fee entered",-1000000000000000+ROW(),$N33/$B33+ROW()/1000000000)))))</f>
        <v/>
      </c>
    </row>
    <row r="34" customFormat="false" ht="15" hidden="false" customHeight="false" outlineLevel="0" collapsed="false">
      <c r="A34" s="14"/>
      <c r="B34" s="15"/>
      <c r="C34" s="16"/>
      <c r="D34" s="14"/>
      <c r="E34" s="14"/>
      <c r="F34" s="14"/>
      <c r="G34" s="15"/>
      <c r="H34" s="15"/>
      <c r="I34" s="17" t="str">
        <f aca="false">IF(OR(AND($A34="",$B34="",$C34="",$D34="",$E34="",$F34="",$G34="",$H34=""),NOT($S34="")),"",ROUND($C34*($D34+$E34)/60,4))</f>
        <v/>
      </c>
      <c r="J34" s="18" t="str">
        <f aca="false">IF(OR(AND($A34="",$B34="",$C34="",$D34="",$E34="",$F34="",$G34="",$H34=""),NOT($S34="")),"",ROUND(ROUND($C34*($D34+$E34)/60*$B$5,9),2))</f>
        <v/>
      </c>
      <c r="K34" s="18" t="str">
        <f aca="false">IF(OR(AND($A34="",$B34="",$C34="",$D34="",$E34="",$F34="",$G34="",$H34=""),NOT($S34="")),"",ROUND(ROUND($C34*$F34*$B$6,9),2))</f>
        <v/>
      </c>
      <c r="L34" s="18" t="str">
        <f aca="false">IF(OR(AND($A34="",$B34="",$C34="",$D34="",$E34="",$F34="",$G34="",$H34=""),NOT($S34="")),"",ROUND(ROUND($C34*$G34,9),2))</f>
        <v/>
      </c>
      <c r="M34" s="19" t="str">
        <f aca="false">IF(OR(AND($A34="",$B34="",$C34="",$D34="",$E34="",$F34="",$G34="",$H34=""),NOT($S34="")),"",ROUND($J34+$K34+$L34+$H34,2))</f>
        <v/>
      </c>
      <c r="N34" s="19" t="str">
        <f aca="false">IF(OR(AND($A34="",$B34="",$C34="",$D34="",$E34="",$F34="",$G34="",$H34=""),NOT($S34="")),"",ROUND($B34-$M34,2))</f>
        <v/>
      </c>
      <c r="O34" s="20" t="str">
        <f aca="false">IF(OR(AND($A34="",$B34="",$C34="",$D34="",$E34="",$F34="",$G34="",$H34=""),NOT($S34="")),"",IF($B34=0,"n/a",INT(ROUND($N34/$B34*10000,6))/10000))</f>
        <v/>
      </c>
      <c r="P34" s="18" t="str">
        <f aca="false">IF(OR(AND($A34="",$B34="",$C34="",$D34="",$E34="",$F34="",$G34="",$H34=""),NOT($S34="")),"",ROUNDUP(ROUND($M34*10000/(10000-TargetH),9),2))</f>
        <v/>
      </c>
      <c r="Q34" s="18" t="str">
        <f aca="false">IF(OR(AND($A34="",$B34="",$C34="",$D34="",$E34="",$F34="",$G34="",$H34=""),NOT($S34="")),"",MAX(0,ROUND($P34-$B34,2)))</f>
        <v/>
      </c>
      <c r="R34" s="21" t="str">
        <f aca="false">IF(AND($A34="",$B34="",$C34="",$D34="",$E34="",$F34="",$G34="",$H34=""),"",IF(NOT($S34=""),"Check inputs",IF($B34=0,"No fee entered",IF($N34&lt;0,"Losing money on entered costs",IF(ROUND($N34*100,0)*10000&lt;TargetH*ROUND($B34*100,0),"Below your target","Meets your target")))))</f>
        <v/>
      </c>
      <c r="S34" s="22" t="str">
        <f aca="false">IF(AND($A34="",$B34="",$C34="",$D34="",$E34="",$F34="",$G34="",$H34=""),"",TRIM(IF($A34="","Customer/site label is missing. ","")&amp;IF($B34="","Monthly fee is missing. ",IF(NOT(ISNUMBER($B34)),"Monthly fee must be a number. ",IF($B34&lt;0,"Monthly fee can't be negative. ",IF(ROUND($B34,2)&lt;&gt;$B34,"Monthly fee: use up to 2 decimal places. ",IF($B34&gt;99999.99,"Monthly fee: use 99,999.99 or less. ","")))))&amp;IF($C34="","Visits per month is missing. ",IF(NOT(ISNUMBER($C34)),"Visits per month must be a number. ",IF($C34&lt;0,"Visits per month can't be negative. ",IF(ROUND($C34,3)&lt;&gt;$C34,"Visits per month: use up to 3 decimal places. ",IF($C34=0,"Visits per month must be more than 0. ",IF($C34&gt;31,"Visits per month: use 31 or less. ",""))))))&amp;IF($D34="","Service minutes per visit is missing. ",IF(NOT(ISNUMBER($D34)),"Service minutes per visit must be a number. ",IF($D34&lt;0,"Service minutes per visit can't be negative. ",IF(ROUND($D34,2)&lt;&gt;$D34,"Service minutes per visit: use up to 2 decimal places. ",IF($D34=0,"Service minutes per visit must be more than 0. ",IF($D34&gt;600,"Service minutes per visit: use 600 or less. ",""))))))&amp;IF($E34="","Drive minutes per visit is missing. ",IF(NOT(ISNUMBER($E34)),"Drive minutes per visit must be a number. ",IF($E34&lt;0,"Drive minutes per visit can't be negative. ",IF(ROUND($E34,2)&lt;&gt;$E34,"Drive minutes per visit: use up to 2 decimal places. ",IF($E34&gt;600,"Drive minutes per visit: use 600 or less. ","")))))&amp;IF($F34="","Drive miles per visit is missing. ",IF(NOT(ISNUMBER($F34)),"Drive miles per visit must be a number. ",IF($F34&lt;0,"Drive miles per visit can't be negative. ",IF(ROUND($F34,2)&lt;&gt;$F34,"Drive miles per visit: use up to 2 decimal places. ",IF($F34&gt;1000,"Drive miles per visit: use 1,000 or less. ","")))))&amp;IF($G34="","Chemicals per visit is missing. ",IF(NOT(ISNUMBER($G34)),"Chemicals per visit must be a number. ",IF($G34&lt;0,"Chemicals per visit can't be negative. ",IF(ROUND($G34,2)&lt;&gt;$G34,"Chemicals per visit: use up to 2 decimal places. ",IF($G34&gt;9999.99,"Chemicals per visit: use 9,999.99 or less. ","")))))&amp;IF($H34="","Other monthly costs is missing. ",IF(NOT(ISNUMBER($H34)),"Other monthly costs must be a number. ",IF($H34&lt;0,"Other monthly costs can't be negative. ",IF(ROUND($H34,2)&lt;&gt;$H34,"Other monthly costs: use up to 2 decimal places. ",IF($H34&gt;99999.99,"Other monthly costs: use 99,999.99 or less. ","")))))&amp;IF(SettingsOK,"","Settings incomplete.")))</f>
        <v/>
      </c>
      <c r="T34" s="23" t="str">
        <f aca="false">IF(AND($A34="",$B34="",$C34="",$D34="",$E34="",$F34="",$G34="",$H34=""),"",IF(Review!$B$5="Check inputs",IF($R34="Check inputs",ROW(),""),IF($R34="Check inputs",IF(Review!$B$5="All accounts",-2000000000000000+ROW(),""),IF(AND(Review!$B$5="Needs review",$R34="Meets your target"),"",IF($R34="No fee entered",-1000000000000000+ROW(),$N34/$B34+ROW()/1000000000)))))</f>
        <v/>
      </c>
    </row>
    <row r="35" customFormat="false" ht="15" hidden="false" customHeight="false" outlineLevel="0" collapsed="false">
      <c r="A35" s="14"/>
      <c r="B35" s="15"/>
      <c r="C35" s="16"/>
      <c r="D35" s="14"/>
      <c r="E35" s="14"/>
      <c r="F35" s="14"/>
      <c r="G35" s="15"/>
      <c r="H35" s="15"/>
      <c r="I35" s="17" t="str">
        <f aca="false">IF(OR(AND($A35="",$B35="",$C35="",$D35="",$E35="",$F35="",$G35="",$H35=""),NOT($S35="")),"",ROUND($C35*($D35+$E35)/60,4))</f>
        <v/>
      </c>
      <c r="J35" s="18" t="str">
        <f aca="false">IF(OR(AND($A35="",$B35="",$C35="",$D35="",$E35="",$F35="",$G35="",$H35=""),NOT($S35="")),"",ROUND(ROUND($C35*($D35+$E35)/60*$B$5,9),2))</f>
        <v/>
      </c>
      <c r="K35" s="18" t="str">
        <f aca="false">IF(OR(AND($A35="",$B35="",$C35="",$D35="",$E35="",$F35="",$G35="",$H35=""),NOT($S35="")),"",ROUND(ROUND($C35*$F35*$B$6,9),2))</f>
        <v/>
      </c>
      <c r="L35" s="18" t="str">
        <f aca="false">IF(OR(AND($A35="",$B35="",$C35="",$D35="",$E35="",$F35="",$G35="",$H35=""),NOT($S35="")),"",ROUND(ROUND($C35*$G35,9),2))</f>
        <v/>
      </c>
      <c r="M35" s="19" t="str">
        <f aca="false">IF(OR(AND($A35="",$B35="",$C35="",$D35="",$E35="",$F35="",$G35="",$H35=""),NOT($S35="")),"",ROUND($J35+$K35+$L35+$H35,2))</f>
        <v/>
      </c>
      <c r="N35" s="19" t="str">
        <f aca="false">IF(OR(AND($A35="",$B35="",$C35="",$D35="",$E35="",$F35="",$G35="",$H35=""),NOT($S35="")),"",ROUND($B35-$M35,2))</f>
        <v/>
      </c>
      <c r="O35" s="20" t="str">
        <f aca="false">IF(OR(AND($A35="",$B35="",$C35="",$D35="",$E35="",$F35="",$G35="",$H35=""),NOT($S35="")),"",IF($B35=0,"n/a",INT(ROUND($N35/$B35*10000,6))/10000))</f>
        <v/>
      </c>
      <c r="P35" s="18" t="str">
        <f aca="false">IF(OR(AND($A35="",$B35="",$C35="",$D35="",$E35="",$F35="",$G35="",$H35=""),NOT($S35="")),"",ROUNDUP(ROUND($M35*10000/(10000-TargetH),9),2))</f>
        <v/>
      </c>
      <c r="Q35" s="18" t="str">
        <f aca="false">IF(OR(AND($A35="",$B35="",$C35="",$D35="",$E35="",$F35="",$G35="",$H35=""),NOT($S35="")),"",MAX(0,ROUND($P35-$B35,2)))</f>
        <v/>
      </c>
      <c r="R35" s="21" t="str">
        <f aca="false">IF(AND($A35="",$B35="",$C35="",$D35="",$E35="",$F35="",$G35="",$H35=""),"",IF(NOT($S35=""),"Check inputs",IF($B35=0,"No fee entered",IF($N35&lt;0,"Losing money on entered costs",IF(ROUND($N35*100,0)*10000&lt;TargetH*ROUND($B35*100,0),"Below your target","Meets your target")))))</f>
        <v/>
      </c>
      <c r="S35" s="22" t="str">
        <f aca="false">IF(AND($A35="",$B35="",$C35="",$D35="",$E35="",$F35="",$G35="",$H35=""),"",TRIM(IF($A35="","Customer/site label is missing. ","")&amp;IF($B35="","Monthly fee is missing. ",IF(NOT(ISNUMBER($B35)),"Monthly fee must be a number. ",IF($B35&lt;0,"Monthly fee can't be negative. ",IF(ROUND($B35,2)&lt;&gt;$B35,"Monthly fee: use up to 2 decimal places. ",IF($B35&gt;99999.99,"Monthly fee: use 99,999.99 or less. ","")))))&amp;IF($C35="","Visits per month is missing. ",IF(NOT(ISNUMBER($C35)),"Visits per month must be a number. ",IF($C35&lt;0,"Visits per month can't be negative. ",IF(ROUND($C35,3)&lt;&gt;$C35,"Visits per month: use up to 3 decimal places. ",IF($C35=0,"Visits per month must be more than 0. ",IF($C35&gt;31,"Visits per month: use 31 or less. ",""))))))&amp;IF($D35="","Service minutes per visit is missing. ",IF(NOT(ISNUMBER($D35)),"Service minutes per visit must be a number. ",IF($D35&lt;0,"Service minutes per visit can't be negative. ",IF(ROUND($D35,2)&lt;&gt;$D35,"Service minutes per visit: use up to 2 decimal places. ",IF($D35=0,"Service minutes per visit must be more than 0. ",IF($D35&gt;600,"Service minutes per visit: use 600 or less. ",""))))))&amp;IF($E35="","Drive minutes per visit is missing. ",IF(NOT(ISNUMBER($E35)),"Drive minutes per visit must be a number. ",IF($E35&lt;0,"Drive minutes per visit can't be negative. ",IF(ROUND($E35,2)&lt;&gt;$E35,"Drive minutes per visit: use up to 2 decimal places. ",IF($E35&gt;600,"Drive minutes per visit: use 600 or less. ","")))))&amp;IF($F35="","Drive miles per visit is missing. ",IF(NOT(ISNUMBER($F35)),"Drive miles per visit must be a number. ",IF($F35&lt;0,"Drive miles per visit can't be negative. ",IF(ROUND($F35,2)&lt;&gt;$F35,"Drive miles per visit: use up to 2 decimal places. ",IF($F35&gt;1000,"Drive miles per visit: use 1,000 or less. ","")))))&amp;IF($G35="","Chemicals per visit is missing. ",IF(NOT(ISNUMBER($G35)),"Chemicals per visit must be a number. ",IF($G35&lt;0,"Chemicals per visit can't be negative. ",IF(ROUND($G35,2)&lt;&gt;$G35,"Chemicals per visit: use up to 2 decimal places. ",IF($G35&gt;9999.99,"Chemicals per visit: use 9,999.99 or less. ","")))))&amp;IF($H35="","Other monthly costs is missing. ",IF(NOT(ISNUMBER($H35)),"Other monthly costs must be a number. ",IF($H35&lt;0,"Other monthly costs can't be negative. ",IF(ROUND($H35,2)&lt;&gt;$H35,"Other monthly costs: use up to 2 decimal places. ",IF($H35&gt;99999.99,"Other monthly costs: use 99,999.99 or less. ","")))))&amp;IF(SettingsOK,"","Settings incomplete.")))</f>
        <v/>
      </c>
      <c r="T35" s="23" t="str">
        <f aca="false">IF(AND($A35="",$B35="",$C35="",$D35="",$E35="",$F35="",$G35="",$H35=""),"",IF(Review!$B$5="Check inputs",IF($R35="Check inputs",ROW(),""),IF($R35="Check inputs",IF(Review!$B$5="All accounts",-2000000000000000+ROW(),""),IF(AND(Review!$B$5="Needs review",$R35="Meets your target"),"",IF($R35="No fee entered",-1000000000000000+ROW(),$N35/$B35+ROW()/1000000000)))))</f>
        <v/>
      </c>
    </row>
    <row r="36" customFormat="false" ht="15" hidden="false" customHeight="false" outlineLevel="0" collapsed="false">
      <c r="A36" s="14"/>
      <c r="B36" s="15"/>
      <c r="C36" s="16"/>
      <c r="D36" s="14"/>
      <c r="E36" s="14"/>
      <c r="F36" s="14"/>
      <c r="G36" s="15"/>
      <c r="H36" s="15"/>
      <c r="I36" s="17" t="str">
        <f aca="false">IF(OR(AND($A36="",$B36="",$C36="",$D36="",$E36="",$F36="",$G36="",$H36=""),NOT($S36="")),"",ROUND($C36*($D36+$E36)/60,4))</f>
        <v/>
      </c>
      <c r="J36" s="18" t="str">
        <f aca="false">IF(OR(AND($A36="",$B36="",$C36="",$D36="",$E36="",$F36="",$G36="",$H36=""),NOT($S36="")),"",ROUND(ROUND($C36*($D36+$E36)/60*$B$5,9),2))</f>
        <v/>
      </c>
      <c r="K36" s="18" t="str">
        <f aca="false">IF(OR(AND($A36="",$B36="",$C36="",$D36="",$E36="",$F36="",$G36="",$H36=""),NOT($S36="")),"",ROUND(ROUND($C36*$F36*$B$6,9),2))</f>
        <v/>
      </c>
      <c r="L36" s="18" t="str">
        <f aca="false">IF(OR(AND($A36="",$B36="",$C36="",$D36="",$E36="",$F36="",$G36="",$H36=""),NOT($S36="")),"",ROUND(ROUND($C36*$G36,9),2))</f>
        <v/>
      </c>
      <c r="M36" s="19" t="str">
        <f aca="false">IF(OR(AND($A36="",$B36="",$C36="",$D36="",$E36="",$F36="",$G36="",$H36=""),NOT($S36="")),"",ROUND($J36+$K36+$L36+$H36,2))</f>
        <v/>
      </c>
      <c r="N36" s="19" t="str">
        <f aca="false">IF(OR(AND($A36="",$B36="",$C36="",$D36="",$E36="",$F36="",$G36="",$H36=""),NOT($S36="")),"",ROUND($B36-$M36,2))</f>
        <v/>
      </c>
      <c r="O36" s="20" t="str">
        <f aca="false">IF(OR(AND($A36="",$B36="",$C36="",$D36="",$E36="",$F36="",$G36="",$H36=""),NOT($S36="")),"",IF($B36=0,"n/a",INT(ROUND($N36/$B36*10000,6))/10000))</f>
        <v/>
      </c>
      <c r="P36" s="18" t="str">
        <f aca="false">IF(OR(AND($A36="",$B36="",$C36="",$D36="",$E36="",$F36="",$G36="",$H36=""),NOT($S36="")),"",ROUNDUP(ROUND($M36*10000/(10000-TargetH),9),2))</f>
        <v/>
      </c>
      <c r="Q36" s="18" t="str">
        <f aca="false">IF(OR(AND($A36="",$B36="",$C36="",$D36="",$E36="",$F36="",$G36="",$H36=""),NOT($S36="")),"",MAX(0,ROUND($P36-$B36,2)))</f>
        <v/>
      </c>
      <c r="R36" s="21" t="str">
        <f aca="false">IF(AND($A36="",$B36="",$C36="",$D36="",$E36="",$F36="",$G36="",$H36=""),"",IF(NOT($S36=""),"Check inputs",IF($B36=0,"No fee entered",IF($N36&lt;0,"Losing money on entered costs",IF(ROUND($N36*100,0)*10000&lt;TargetH*ROUND($B36*100,0),"Below your target","Meets your target")))))</f>
        <v/>
      </c>
      <c r="S36" s="22" t="str">
        <f aca="false">IF(AND($A36="",$B36="",$C36="",$D36="",$E36="",$F36="",$G36="",$H36=""),"",TRIM(IF($A36="","Customer/site label is missing. ","")&amp;IF($B36="","Monthly fee is missing. ",IF(NOT(ISNUMBER($B36)),"Monthly fee must be a number. ",IF($B36&lt;0,"Monthly fee can't be negative. ",IF(ROUND($B36,2)&lt;&gt;$B36,"Monthly fee: use up to 2 decimal places. ",IF($B36&gt;99999.99,"Monthly fee: use 99,999.99 or less. ","")))))&amp;IF($C36="","Visits per month is missing. ",IF(NOT(ISNUMBER($C36)),"Visits per month must be a number. ",IF($C36&lt;0,"Visits per month can't be negative. ",IF(ROUND($C36,3)&lt;&gt;$C36,"Visits per month: use up to 3 decimal places. ",IF($C36=0,"Visits per month must be more than 0. ",IF($C36&gt;31,"Visits per month: use 31 or less. ",""))))))&amp;IF($D36="","Service minutes per visit is missing. ",IF(NOT(ISNUMBER($D36)),"Service minutes per visit must be a number. ",IF($D36&lt;0,"Service minutes per visit can't be negative. ",IF(ROUND($D36,2)&lt;&gt;$D36,"Service minutes per visit: use up to 2 decimal places. ",IF($D36=0,"Service minutes per visit must be more than 0. ",IF($D36&gt;600,"Service minutes per visit: use 600 or less. ",""))))))&amp;IF($E36="","Drive minutes per visit is missing. ",IF(NOT(ISNUMBER($E36)),"Drive minutes per visit must be a number. ",IF($E36&lt;0,"Drive minutes per visit can't be negative. ",IF(ROUND($E36,2)&lt;&gt;$E36,"Drive minutes per visit: use up to 2 decimal places. ",IF($E36&gt;600,"Drive minutes per visit: use 600 or less. ","")))))&amp;IF($F36="","Drive miles per visit is missing. ",IF(NOT(ISNUMBER($F36)),"Drive miles per visit must be a number. ",IF($F36&lt;0,"Drive miles per visit can't be negative. ",IF(ROUND($F36,2)&lt;&gt;$F36,"Drive miles per visit: use up to 2 decimal places. ",IF($F36&gt;1000,"Drive miles per visit: use 1,000 or less. ","")))))&amp;IF($G36="","Chemicals per visit is missing. ",IF(NOT(ISNUMBER($G36)),"Chemicals per visit must be a number. ",IF($G36&lt;0,"Chemicals per visit can't be negative. ",IF(ROUND($G36,2)&lt;&gt;$G36,"Chemicals per visit: use up to 2 decimal places. ",IF($G36&gt;9999.99,"Chemicals per visit: use 9,999.99 or less. ","")))))&amp;IF($H36="","Other monthly costs is missing. ",IF(NOT(ISNUMBER($H36)),"Other monthly costs must be a number. ",IF($H36&lt;0,"Other monthly costs can't be negative. ",IF(ROUND($H36,2)&lt;&gt;$H36,"Other monthly costs: use up to 2 decimal places. ",IF($H36&gt;99999.99,"Other monthly costs: use 99,999.99 or less. ","")))))&amp;IF(SettingsOK,"","Settings incomplete.")))</f>
        <v/>
      </c>
      <c r="T36" s="23" t="str">
        <f aca="false">IF(AND($A36="",$B36="",$C36="",$D36="",$E36="",$F36="",$G36="",$H36=""),"",IF(Review!$B$5="Check inputs",IF($R36="Check inputs",ROW(),""),IF($R36="Check inputs",IF(Review!$B$5="All accounts",-2000000000000000+ROW(),""),IF(AND(Review!$B$5="Needs review",$R36="Meets your target"),"",IF($R36="No fee entered",-1000000000000000+ROW(),$N36/$B36+ROW()/1000000000)))))</f>
        <v/>
      </c>
    </row>
    <row r="37" customFormat="false" ht="15" hidden="false" customHeight="false" outlineLevel="0" collapsed="false">
      <c r="A37" s="14"/>
      <c r="B37" s="15"/>
      <c r="C37" s="16"/>
      <c r="D37" s="14"/>
      <c r="E37" s="14"/>
      <c r="F37" s="14"/>
      <c r="G37" s="15"/>
      <c r="H37" s="15"/>
      <c r="I37" s="17" t="str">
        <f aca="false">IF(OR(AND($A37="",$B37="",$C37="",$D37="",$E37="",$F37="",$G37="",$H37=""),NOT($S37="")),"",ROUND($C37*($D37+$E37)/60,4))</f>
        <v/>
      </c>
      <c r="J37" s="18" t="str">
        <f aca="false">IF(OR(AND($A37="",$B37="",$C37="",$D37="",$E37="",$F37="",$G37="",$H37=""),NOT($S37="")),"",ROUND(ROUND($C37*($D37+$E37)/60*$B$5,9),2))</f>
        <v/>
      </c>
      <c r="K37" s="18" t="str">
        <f aca="false">IF(OR(AND($A37="",$B37="",$C37="",$D37="",$E37="",$F37="",$G37="",$H37=""),NOT($S37="")),"",ROUND(ROUND($C37*$F37*$B$6,9),2))</f>
        <v/>
      </c>
      <c r="L37" s="18" t="str">
        <f aca="false">IF(OR(AND($A37="",$B37="",$C37="",$D37="",$E37="",$F37="",$G37="",$H37=""),NOT($S37="")),"",ROUND(ROUND($C37*$G37,9),2))</f>
        <v/>
      </c>
      <c r="M37" s="19" t="str">
        <f aca="false">IF(OR(AND($A37="",$B37="",$C37="",$D37="",$E37="",$F37="",$G37="",$H37=""),NOT($S37="")),"",ROUND($J37+$K37+$L37+$H37,2))</f>
        <v/>
      </c>
      <c r="N37" s="19" t="str">
        <f aca="false">IF(OR(AND($A37="",$B37="",$C37="",$D37="",$E37="",$F37="",$G37="",$H37=""),NOT($S37="")),"",ROUND($B37-$M37,2))</f>
        <v/>
      </c>
      <c r="O37" s="20" t="str">
        <f aca="false">IF(OR(AND($A37="",$B37="",$C37="",$D37="",$E37="",$F37="",$G37="",$H37=""),NOT($S37="")),"",IF($B37=0,"n/a",INT(ROUND($N37/$B37*10000,6))/10000))</f>
        <v/>
      </c>
      <c r="P37" s="18" t="str">
        <f aca="false">IF(OR(AND($A37="",$B37="",$C37="",$D37="",$E37="",$F37="",$G37="",$H37=""),NOT($S37="")),"",ROUNDUP(ROUND($M37*10000/(10000-TargetH),9),2))</f>
        <v/>
      </c>
      <c r="Q37" s="18" t="str">
        <f aca="false">IF(OR(AND($A37="",$B37="",$C37="",$D37="",$E37="",$F37="",$G37="",$H37=""),NOT($S37="")),"",MAX(0,ROUND($P37-$B37,2)))</f>
        <v/>
      </c>
      <c r="R37" s="21" t="str">
        <f aca="false">IF(AND($A37="",$B37="",$C37="",$D37="",$E37="",$F37="",$G37="",$H37=""),"",IF(NOT($S37=""),"Check inputs",IF($B37=0,"No fee entered",IF($N37&lt;0,"Losing money on entered costs",IF(ROUND($N37*100,0)*10000&lt;TargetH*ROUND($B37*100,0),"Below your target","Meets your target")))))</f>
        <v/>
      </c>
      <c r="S37" s="22" t="str">
        <f aca="false">IF(AND($A37="",$B37="",$C37="",$D37="",$E37="",$F37="",$G37="",$H37=""),"",TRIM(IF($A37="","Customer/site label is missing. ","")&amp;IF($B37="","Monthly fee is missing. ",IF(NOT(ISNUMBER($B37)),"Monthly fee must be a number. ",IF($B37&lt;0,"Monthly fee can't be negative. ",IF(ROUND($B37,2)&lt;&gt;$B37,"Monthly fee: use up to 2 decimal places. ",IF($B37&gt;99999.99,"Monthly fee: use 99,999.99 or less. ","")))))&amp;IF($C37="","Visits per month is missing. ",IF(NOT(ISNUMBER($C37)),"Visits per month must be a number. ",IF($C37&lt;0,"Visits per month can't be negative. ",IF(ROUND($C37,3)&lt;&gt;$C37,"Visits per month: use up to 3 decimal places. ",IF($C37=0,"Visits per month must be more than 0. ",IF($C37&gt;31,"Visits per month: use 31 or less. ",""))))))&amp;IF($D37="","Service minutes per visit is missing. ",IF(NOT(ISNUMBER($D37)),"Service minutes per visit must be a number. ",IF($D37&lt;0,"Service minutes per visit can't be negative. ",IF(ROUND($D37,2)&lt;&gt;$D37,"Service minutes per visit: use up to 2 decimal places. ",IF($D37=0,"Service minutes per visit must be more than 0. ",IF($D37&gt;600,"Service minutes per visit: use 600 or less. ",""))))))&amp;IF($E37="","Drive minutes per visit is missing. ",IF(NOT(ISNUMBER($E37)),"Drive minutes per visit must be a number. ",IF($E37&lt;0,"Drive minutes per visit can't be negative. ",IF(ROUND($E37,2)&lt;&gt;$E37,"Drive minutes per visit: use up to 2 decimal places. ",IF($E37&gt;600,"Drive minutes per visit: use 600 or less. ","")))))&amp;IF($F37="","Drive miles per visit is missing. ",IF(NOT(ISNUMBER($F37)),"Drive miles per visit must be a number. ",IF($F37&lt;0,"Drive miles per visit can't be negative. ",IF(ROUND($F37,2)&lt;&gt;$F37,"Drive miles per visit: use up to 2 decimal places. ",IF($F37&gt;1000,"Drive miles per visit: use 1,000 or less. ","")))))&amp;IF($G37="","Chemicals per visit is missing. ",IF(NOT(ISNUMBER($G37)),"Chemicals per visit must be a number. ",IF($G37&lt;0,"Chemicals per visit can't be negative. ",IF(ROUND($G37,2)&lt;&gt;$G37,"Chemicals per visit: use up to 2 decimal places. ",IF($G37&gt;9999.99,"Chemicals per visit: use 9,999.99 or less. ","")))))&amp;IF($H37="","Other monthly costs is missing. ",IF(NOT(ISNUMBER($H37)),"Other monthly costs must be a number. ",IF($H37&lt;0,"Other monthly costs can't be negative. ",IF(ROUND($H37,2)&lt;&gt;$H37,"Other monthly costs: use up to 2 decimal places. ",IF($H37&gt;99999.99,"Other monthly costs: use 99,999.99 or less. ","")))))&amp;IF(SettingsOK,"","Settings incomplete.")))</f>
        <v/>
      </c>
      <c r="T37" s="23" t="str">
        <f aca="false">IF(AND($A37="",$B37="",$C37="",$D37="",$E37="",$F37="",$G37="",$H37=""),"",IF(Review!$B$5="Check inputs",IF($R37="Check inputs",ROW(),""),IF($R37="Check inputs",IF(Review!$B$5="All accounts",-2000000000000000+ROW(),""),IF(AND(Review!$B$5="Needs review",$R37="Meets your target"),"",IF($R37="No fee entered",-1000000000000000+ROW(),$N37/$B37+ROW()/1000000000)))))</f>
        <v/>
      </c>
    </row>
    <row r="38" customFormat="false" ht="15" hidden="false" customHeight="false" outlineLevel="0" collapsed="false">
      <c r="A38" s="14"/>
      <c r="B38" s="15"/>
      <c r="C38" s="16"/>
      <c r="D38" s="14"/>
      <c r="E38" s="14"/>
      <c r="F38" s="14"/>
      <c r="G38" s="15"/>
      <c r="H38" s="15"/>
      <c r="I38" s="17" t="str">
        <f aca="false">IF(OR(AND($A38="",$B38="",$C38="",$D38="",$E38="",$F38="",$G38="",$H38=""),NOT($S38="")),"",ROUND($C38*($D38+$E38)/60,4))</f>
        <v/>
      </c>
      <c r="J38" s="18" t="str">
        <f aca="false">IF(OR(AND($A38="",$B38="",$C38="",$D38="",$E38="",$F38="",$G38="",$H38=""),NOT($S38="")),"",ROUND(ROUND($C38*($D38+$E38)/60*$B$5,9),2))</f>
        <v/>
      </c>
      <c r="K38" s="18" t="str">
        <f aca="false">IF(OR(AND($A38="",$B38="",$C38="",$D38="",$E38="",$F38="",$G38="",$H38=""),NOT($S38="")),"",ROUND(ROUND($C38*$F38*$B$6,9),2))</f>
        <v/>
      </c>
      <c r="L38" s="18" t="str">
        <f aca="false">IF(OR(AND($A38="",$B38="",$C38="",$D38="",$E38="",$F38="",$G38="",$H38=""),NOT($S38="")),"",ROUND(ROUND($C38*$G38,9),2))</f>
        <v/>
      </c>
      <c r="M38" s="19" t="str">
        <f aca="false">IF(OR(AND($A38="",$B38="",$C38="",$D38="",$E38="",$F38="",$G38="",$H38=""),NOT($S38="")),"",ROUND($J38+$K38+$L38+$H38,2))</f>
        <v/>
      </c>
      <c r="N38" s="19" t="str">
        <f aca="false">IF(OR(AND($A38="",$B38="",$C38="",$D38="",$E38="",$F38="",$G38="",$H38=""),NOT($S38="")),"",ROUND($B38-$M38,2))</f>
        <v/>
      </c>
      <c r="O38" s="20" t="str">
        <f aca="false">IF(OR(AND($A38="",$B38="",$C38="",$D38="",$E38="",$F38="",$G38="",$H38=""),NOT($S38="")),"",IF($B38=0,"n/a",INT(ROUND($N38/$B38*10000,6))/10000))</f>
        <v/>
      </c>
      <c r="P38" s="18" t="str">
        <f aca="false">IF(OR(AND($A38="",$B38="",$C38="",$D38="",$E38="",$F38="",$G38="",$H38=""),NOT($S38="")),"",ROUNDUP(ROUND($M38*10000/(10000-TargetH),9),2))</f>
        <v/>
      </c>
      <c r="Q38" s="18" t="str">
        <f aca="false">IF(OR(AND($A38="",$B38="",$C38="",$D38="",$E38="",$F38="",$G38="",$H38=""),NOT($S38="")),"",MAX(0,ROUND($P38-$B38,2)))</f>
        <v/>
      </c>
      <c r="R38" s="21" t="str">
        <f aca="false">IF(AND($A38="",$B38="",$C38="",$D38="",$E38="",$F38="",$G38="",$H38=""),"",IF(NOT($S38=""),"Check inputs",IF($B38=0,"No fee entered",IF($N38&lt;0,"Losing money on entered costs",IF(ROUND($N38*100,0)*10000&lt;TargetH*ROUND($B38*100,0),"Below your target","Meets your target")))))</f>
        <v/>
      </c>
      <c r="S38" s="22" t="str">
        <f aca="false">IF(AND($A38="",$B38="",$C38="",$D38="",$E38="",$F38="",$G38="",$H38=""),"",TRIM(IF($A38="","Customer/site label is missing. ","")&amp;IF($B38="","Monthly fee is missing. ",IF(NOT(ISNUMBER($B38)),"Monthly fee must be a number. ",IF($B38&lt;0,"Monthly fee can't be negative. ",IF(ROUND($B38,2)&lt;&gt;$B38,"Monthly fee: use up to 2 decimal places. ",IF($B38&gt;99999.99,"Monthly fee: use 99,999.99 or less. ","")))))&amp;IF($C38="","Visits per month is missing. ",IF(NOT(ISNUMBER($C38)),"Visits per month must be a number. ",IF($C38&lt;0,"Visits per month can't be negative. ",IF(ROUND($C38,3)&lt;&gt;$C38,"Visits per month: use up to 3 decimal places. ",IF($C38=0,"Visits per month must be more than 0. ",IF($C38&gt;31,"Visits per month: use 31 or less. ",""))))))&amp;IF($D38="","Service minutes per visit is missing. ",IF(NOT(ISNUMBER($D38)),"Service minutes per visit must be a number. ",IF($D38&lt;0,"Service minutes per visit can't be negative. ",IF(ROUND($D38,2)&lt;&gt;$D38,"Service minutes per visit: use up to 2 decimal places. ",IF($D38=0,"Service minutes per visit must be more than 0. ",IF($D38&gt;600,"Service minutes per visit: use 600 or less. ",""))))))&amp;IF($E38="","Drive minutes per visit is missing. ",IF(NOT(ISNUMBER($E38)),"Drive minutes per visit must be a number. ",IF($E38&lt;0,"Drive minutes per visit can't be negative. ",IF(ROUND($E38,2)&lt;&gt;$E38,"Drive minutes per visit: use up to 2 decimal places. ",IF($E38&gt;600,"Drive minutes per visit: use 600 or less. ","")))))&amp;IF($F38="","Drive miles per visit is missing. ",IF(NOT(ISNUMBER($F38)),"Drive miles per visit must be a number. ",IF($F38&lt;0,"Drive miles per visit can't be negative. ",IF(ROUND($F38,2)&lt;&gt;$F38,"Drive miles per visit: use up to 2 decimal places. ",IF($F38&gt;1000,"Drive miles per visit: use 1,000 or less. ","")))))&amp;IF($G38="","Chemicals per visit is missing. ",IF(NOT(ISNUMBER($G38)),"Chemicals per visit must be a number. ",IF($G38&lt;0,"Chemicals per visit can't be negative. ",IF(ROUND($G38,2)&lt;&gt;$G38,"Chemicals per visit: use up to 2 decimal places. ",IF($G38&gt;9999.99,"Chemicals per visit: use 9,999.99 or less. ","")))))&amp;IF($H38="","Other monthly costs is missing. ",IF(NOT(ISNUMBER($H38)),"Other monthly costs must be a number. ",IF($H38&lt;0,"Other monthly costs can't be negative. ",IF(ROUND($H38,2)&lt;&gt;$H38,"Other monthly costs: use up to 2 decimal places. ",IF($H38&gt;99999.99,"Other monthly costs: use 99,999.99 or less. ","")))))&amp;IF(SettingsOK,"","Settings incomplete.")))</f>
        <v/>
      </c>
      <c r="T38" s="23" t="str">
        <f aca="false">IF(AND($A38="",$B38="",$C38="",$D38="",$E38="",$F38="",$G38="",$H38=""),"",IF(Review!$B$5="Check inputs",IF($R38="Check inputs",ROW(),""),IF($R38="Check inputs",IF(Review!$B$5="All accounts",-2000000000000000+ROW(),""),IF(AND(Review!$B$5="Needs review",$R38="Meets your target"),"",IF($R38="No fee entered",-1000000000000000+ROW(),$N38/$B38+ROW()/1000000000)))))</f>
        <v/>
      </c>
    </row>
    <row r="39" customFormat="false" ht="15" hidden="false" customHeight="false" outlineLevel="0" collapsed="false">
      <c r="A39" s="14"/>
      <c r="B39" s="15"/>
      <c r="C39" s="16"/>
      <c r="D39" s="14"/>
      <c r="E39" s="14"/>
      <c r="F39" s="14"/>
      <c r="G39" s="15"/>
      <c r="H39" s="15"/>
      <c r="I39" s="17" t="str">
        <f aca="false">IF(OR(AND($A39="",$B39="",$C39="",$D39="",$E39="",$F39="",$G39="",$H39=""),NOT($S39="")),"",ROUND($C39*($D39+$E39)/60,4))</f>
        <v/>
      </c>
      <c r="J39" s="18" t="str">
        <f aca="false">IF(OR(AND($A39="",$B39="",$C39="",$D39="",$E39="",$F39="",$G39="",$H39=""),NOT($S39="")),"",ROUND(ROUND($C39*($D39+$E39)/60*$B$5,9),2))</f>
        <v/>
      </c>
      <c r="K39" s="18" t="str">
        <f aca="false">IF(OR(AND($A39="",$B39="",$C39="",$D39="",$E39="",$F39="",$G39="",$H39=""),NOT($S39="")),"",ROUND(ROUND($C39*$F39*$B$6,9),2))</f>
        <v/>
      </c>
      <c r="L39" s="18" t="str">
        <f aca="false">IF(OR(AND($A39="",$B39="",$C39="",$D39="",$E39="",$F39="",$G39="",$H39=""),NOT($S39="")),"",ROUND(ROUND($C39*$G39,9),2))</f>
        <v/>
      </c>
      <c r="M39" s="19" t="str">
        <f aca="false">IF(OR(AND($A39="",$B39="",$C39="",$D39="",$E39="",$F39="",$G39="",$H39=""),NOT($S39="")),"",ROUND($J39+$K39+$L39+$H39,2))</f>
        <v/>
      </c>
      <c r="N39" s="19" t="str">
        <f aca="false">IF(OR(AND($A39="",$B39="",$C39="",$D39="",$E39="",$F39="",$G39="",$H39=""),NOT($S39="")),"",ROUND($B39-$M39,2))</f>
        <v/>
      </c>
      <c r="O39" s="20" t="str">
        <f aca="false">IF(OR(AND($A39="",$B39="",$C39="",$D39="",$E39="",$F39="",$G39="",$H39=""),NOT($S39="")),"",IF($B39=0,"n/a",INT(ROUND($N39/$B39*10000,6))/10000))</f>
        <v/>
      </c>
      <c r="P39" s="18" t="str">
        <f aca="false">IF(OR(AND($A39="",$B39="",$C39="",$D39="",$E39="",$F39="",$G39="",$H39=""),NOT($S39="")),"",ROUNDUP(ROUND($M39*10000/(10000-TargetH),9),2))</f>
        <v/>
      </c>
      <c r="Q39" s="18" t="str">
        <f aca="false">IF(OR(AND($A39="",$B39="",$C39="",$D39="",$E39="",$F39="",$G39="",$H39=""),NOT($S39="")),"",MAX(0,ROUND($P39-$B39,2)))</f>
        <v/>
      </c>
      <c r="R39" s="21" t="str">
        <f aca="false">IF(AND($A39="",$B39="",$C39="",$D39="",$E39="",$F39="",$G39="",$H39=""),"",IF(NOT($S39=""),"Check inputs",IF($B39=0,"No fee entered",IF($N39&lt;0,"Losing money on entered costs",IF(ROUND($N39*100,0)*10000&lt;TargetH*ROUND($B39*100,0),"Below your target","Meets your target")))))</f>
        <v/>
      </c>
      <c r="S39" s="22" t="str">
        <f aca="false">IF(AND($A39="",$B39="",$C39="",$D39="",$E39="",$F39="",$G39="",$H39=""),"",TRIM(IF($A39="","Customer/site label is missing. ","")&amp;IF($B39="","Monthly fee is missing. ",IF(NOT(ISNUMBER($B39)),"Monthly fee must be a number. ",IF($B39&lt;0,"Monthly fee can't be negative. ",IF(ROUND($B39,2)&lt;&gt;$B39,"Monthly fee: use up to 2 decimal places. ",IF($B39&gt;99999.99,"Monthly fee: use 99,999.99 or less. ","")))))&amp;IF($C39="","Visits per month is missing. ",IF(NOT(ISNUMBER($C39)),"Visits per month must be a number. ",IF($C39&lt;0,"Visits per month can't be negative. ",IF(ROUND($C39,3)&lt;&gt;$C39,"Visits per month: use up to 3 decimal places. ",IF($C39=0,"Visits per month must be more than 0. ",IF($C39&gt;31,"Visits per month: use 31 or less. ",""))))))&amp;IF($D39="","Service minutes per visit is missing. ",IF(NOT(ISNUMBER($D39)),"Service minutes per visit must be a number. ",IF($D39&lt;0,"Service minutes per visit can't be negative. ",IF(ROUND($D39,2)&lt;&gt;$D39,"Service minutes per visit: use up to 2 decimal places. ",IF($D39=0,"Service minutes per visit must be more than 0. ",IF($D39&gt;600,"Service minutes per visit: use 600 or less. ",""))))))&amp;IF($E39="","Drive minutes per visit is missing. ",IF(NOT(ISNUMBER($E39)),"Drive minutes per visit must be a number. ",IF($E39&lt;0,"Drive minutes per visit can't be negative. ",IF(ROUND($E39,2)&lt;&gt;$E39,"Drive minutes per visit: use up to 2 decimal places. ",IF($E39&gt;600,"Drive minutes per visit: use 600 or less. ","")))))&amp;IF($F39="","Drive miles per visit is missing. ",IF(NOT(ISNUMBER($F39)),"Drive miles per visit must be a number. ",IF($F39&lt;0,"Drive miles per visit can't be negative. ",IF(ROUND($F39,2)&lt;&gt;$F39,"Drive miles per visit: use up to 2 decimal places. ",IF($F39&gt;1000,"Drive miles per visit: use 1,000 or less. ","")))))&amp;IF($G39="","Chemicals per visit is missing. ",IF(NOT(ISNUMBER($G39)),"Chemicals per visit must be a number. ",IF($G39&lt;0,"Chemicals per visit can't be negative. ",IF(ROUND($G39,2)&lt;&gt;$G39,"Chemicals per visit: use up to 2 decimal places. ",IF($G39&gt;9999.99,"Chemicals per visit: use 9,999.99 or less. ","")))))&amp;IF($H39="","Other monthly costs is missing. ",IF(NOT(ISNUMBER($H39)),"Other monthly costs must be a number. ",IF($H39&lt;0,"Other monthly costs can't be negative. ",IF(ROUND($H39,2)&lt;&gt;$H39,"Other monthly costs: use up to 2 decimal places. ",IF($H39&gt;99999.99,"Other monthly costs: use 99,999.99 or less. ","")))))&amp;IF(SettingsOK,"","Settings incomplete.")))</f>
        <v/>
      </c>
      <c r="T39" s="23" t="str">
        <f aca="false">IF(AND($A39="",$B39="",$C39="",$D39="",$E39="",$F39="",$G39="",$H39=""),"",IF(Review!$B$5="Check inputs",IF($R39="Check inputs",ROW(),""),IF($R39="Check inputs",IF(Review!$B$5="All accounts",-2000000000000000+ROW(),""),IF(AND(Review!$B$5="Needs review",$R39="Meets your target"),"",IF($R39="No fee entered",-1000000000000000+ROW(),$N39/$B39+ROW()/1000000000)))))</f>
        <v/>
      </c>
    </row>
    <row r="40" customFormat="false" ht="15" hidden="false" customHeight="false" outlineLevel="0" collapsed="false">
      <c r="A40" s="14"/>
      <c r="B40" s="15"/>
      <c r="C40" s="16"/>
      <c r="D40" s="14"/>
      <c r="E40" s="14"/>
      <c r="F40" s="14"/>
      <c r="G40" s="15"/>
      <c r="H40" s="15"/>
      <c r="I40" s="17" t="str">
        <f aca="false">IF(OR(AND($A40="",$B40="",$C40="",$D40="",$E40="",$F40="",$G40="",$H40=""),NOT($S40="")),"",ROUND($C40*($D40+$E40)/60,4))</f>
        <v/>
      </c>
      <c r="J40" s="18" t="str">
        <f aca="false">IF(OR(AND($A40="",$B40="",$C40="",$D40="",$E40="",$F40="",$G40="",$H40=""),NOT($S40="")),"",ROUND(ROUND($C40*($D40+$E40)/60*$B$5,9),2))</f>
        <v/>
      </c>
      <c r="K40" s="18" t="str">
        <f aca="false">IF(OR(AND($A40="",$B40="",$C40="",$D40="",$E40="",$F40="",$G40="",$H40=""),NOT($S40="")),"",ROUND(ROUND($C40*$F40*$B$6,9),2))</f>
        <v/>
      </c>
      <c r="L40" s="18" t="str">
        <f aca="false">IF(OR(AND($A40="",$B40="",$C40="",$D40="",$E40="",$F40="",$G40="",$H40=""),NOT($S40="")),"",ROUND(ROUND($C40*$G40,9),2))</f>
        <v/>
      </c>
      <c r="M40" s="19" t="str">
        <f aca="false">IF(OR(AND($A40="",$B40="",$C40="",$D40="",$E40="",$F40="",$G40="",$H40=""),NOT($S40="")),"",ROUND($J40+$K40+$L40+$H40,2))</f>
        <v/>
      </c>
      <c r="N40" s="19" t="str">
        <f aca="false">IF(OR(AND($A40="",$B40="",$C40="",$D40="",$E40="",$F40="",$G40="",$H40=""),NOT($S40="")),"",ROUND($B40-$M40,2))</f>
        <v/>
      </c>
      <c r="O40" s="20" t="str">
        <f aca="false">IF(OR(AND($A40="",$B40="",$C40="",$D40="",$E40="",$F40="",$G40="",$H40=""),NOT($S40="")),"",IF($B40=0,"n/a",INT(ROUND($N40/$B40*10000,6))/10000))</f>
        <v/>
      </c>
      <c r="P40" s="18" t="str">
        <f aca="false">IF(OR(AND($A40="",$B40="",$C40="",$D40="",$E40="",$F40="",$G40="",$H40=""),NOT($S40="")),"",ROUNDUP(ROUND($M40*10000/(10000-TargetH),9),2))</f>
        <v/>
      </c>
      <c r="Q40" s="18" t="str">
        <f aca="false">IF(OR(AND($A40="",$B40="",$C40="",$D40="",$E40="",$F40="",$G40="",$H40=""),NOT($S40="")),"",MAX(0,ROUND($P40-$B40,2)))</f>
        <v/>
      </c>
      <c r="R40" s="21" t="str">
        <f aca="false">IF(AND($A40="",$B40="",$C40="",$D40="",$E40="",$F40="",$G40="",$H40=""),"",IF(NOT($S40=""),"Check inputs",IF($B40=0,"No fee entered",IF($N40&lt;0,"Losing money on entered costs",IF(ROUND($N40*100,0)*10000&lt;TargetH*ROUND($B40*100,0),"Below your target","Meets your target")))))</f>
        <v/>
      </c>
      <c r="S40" s="22" t="str">
        <f aca="false">IF(AND($A40="",$B40="",$C40="",$D40="",$E40="",$F40="",$G40="",$H40=""),"",TRIM(IF($A40="","Customer/site label is missing. ","")&amp;IF($B40="","Monthly fee is missing. ",IF(NOT(ISNUMBER($B40)),"Monthly fee must be a number. ",IF($B40&lt;0,"Monthly fee can't be negative. ",IF(ROUND($B40,2)&lt;&gt;$B40,"Monthly fee: use up to 2 decimal places. ",IF($B40&gt;99999.99,"Monthly fee: use 99,999.99 or less. ","")))))&amp;IF($C40="","Visits per month is missing. ",IF(NOT(ISNUMBER($C40)),"Visits per month must be a number. ",IF($C40&lt;0,"Visits per month can't be negative. ",IF(ROUND($C40,3)&lt;&gt;$C40,"Visits per month: use up to 3 decimal places. ",IF($C40=0,"Visits per month must be more than 0. ",IF($C40&gt;31,"Visits per month: use 31 or less. ",""))))))&amp;IF($D40="","Service minutes per visit is missing. ",IF(NOT(ISNUMBER($D40)),"Service minutes per visit must be a number. ",IF($D40&lt;0,"Service minutes per visit can't be negative. ",IF(ROUND($D40,2)&lt;&gt;$D40,"Service minutes per visit: use up to 2 decimal places. ",IF($D40=0,"Service minutes per visit must be more than 0. ",IF($D40&gt;600,"Service minutes per visit: use 600 or less. ",""))))))&amp;IF($E40="","Drive minutes per visit is missing. ",IF(NOT(ISNUMBER($E40)),"Drive minutes per visit must be a number. ",IF($E40&lt;0,"Drive minutes per visit can't be negative. ",IF(ROUND($E40,2)&lt;&gt;$E40,"Drive minutes per visit: use up to 2 decimal places. ",IF($E40&gt;600,"Drive minutes per visit: use 600 or less. ","")))))&amp;IF($F40="","Drive miles per visit is missing. ",IF(NOT(ISNUMBER($F40)),"Drive miles per visit must be a number. ",IF($F40&lt;0,"Drive miles per visit can't be negative. ",IF(ROUND($F40,2)&lt;&gt;$F40,"Drive miles per visit: use up to 2 decimal places. ",IF($F40&gt;1000,"Drive miles per visit: use 1,000 or less. ","")))))&amp;IF($G40="","Chemicals per visit is missing. ",IF(NOT(ISNUMBER($G40)),"Chemicals per visit must be a number. ",IF($G40&lt;0,"Chemicals per visit can't be negative. ",IF(ROUND($G40,2)&lt;&gt;$G40,"Chemicals per visit: use up to 2 decimal places. ",IF($G40&gt;9999.99,"Chemicals per visit: use 9,999.99 or less. ","")))))&amp;IF($H40="","Other monthly costs is missing. ",IF(NOT(ISNUMBER($H40)),"Other monthly costs must be a number. ",IF($H40&lt;0,"Other monthly costs can't be negative. ",IF(ROUND($H40,2)&lt;&gt;$H40,"Other monthly costs: use up to 2 decimal places. ",IF($H40&gt;99999.99,"Other monthly costs: use 99,999.99 or less. ","")))))&amp;IF(SettingsOK,"","Settings incomplete.")))</f>
        <v/>
      </c>
      <c r="T40" s="23" t="str">
        <f aca="false">IF(AND($A40="",$B40="",$C40="",$D40="",$E40="",$F40="",$G40="",$H40=""),"",IF(Review!$B$5="Check inputs",IF($R40="Check inputs",ROW(),""),IF($R40="Check inputs",IF(Review!$B$5="All accounts",-2000000000000000+ROW(),""),IF(AND(Review!$B$5="Needs review",$R40="Meets your target"),"",IF($R40="No fee entered",-1000000000000000+ROW(),$N40/$B40+ROW()/1000000000)))))</f>
        <v/>
      </c>
    </row>
    <row r="41" customFormat="false" ht="15" hidden="false" customHeight="false" outlineLevel="0" collapsed="false">
      <c r="A41" s="14"/>
      <c r="B41" s="15"/>
      <c r="C41" s="16"/>
      <c r="D41" s="14"/>
      <c r="E41" s="14"/>
      <c r="F41" s="14"/>
      <c r="G41" s="15"/>
      <c r="H41" s="15"/>
      <c r="I41" s="17" t="str">
        <f aca="false">IF(OR(AND($A41="",$B41="",$C41="",$D41="",$E41="",$F41="",$G41="",$H41=""),NOT($S41="")),"",ROUND($C41*($D41+$E41)/60,4))</f>
        <v/>
      </c>
      <c r="J41" s="18" t="str">
        <f aca="false">IF(OR(AND($A41="",$B41="",$C41="",$D41="",$E41="",$F41="",$G41="",$H41=""),NOT($S41="")),"",ROUND(ROUND($C41*($D41+$E41)/60*$B$5,9),2))</f>
        <v/>
      </c>
      <c r="K41" s="18" t="str">
        <f aca="false">IF(OR(AND($A41="",$B41="",$C41="",$D41="",$E41="",$F41="",$G41="",$H41=""),NOT($S41="")),"",ROUND(ROUND($C41*$F41*$B$6,9),2))</f>
        <v/>
      </c>
      <c r="L41" s="18" t="str">
        <f aca="false">IF(OR(AND($A41="",$B41="",$C41="",$D41="",$E41="",$F41="",$G41="",$H41=""),NOT($S41="")),"",ROUND(ROUND($C41*$G41,9),2))</f>
        <v/>
      </c>
      <c r="M41" s="19" t="str">
        <f aca="false">IF(OR(AND($A41="",$B41="",$C41="",$D41="",$E41="",$F41="",$G41="",$H41=""),NOT($S41="")),"",ROUND($J41+$K41+$L41+$H41,2))</f>
        <v/>
      </c>
      <c r="N41" s="19" t="str">
        <f aca="false">IF(OR(AND($A41="",$B41="",$C41="",$D41="",$E41="",$F41="",$G41="",$H41=""),NOT($S41="")),"",ROUND($B41-$M41,2))</f>
        <v/>
      </c>
      <c r="O41" s="20" t="str">
        <f aca="false">IF(OR(AND($A41="",$B41="",$C41="",$D41="",$E41="",$F41="",$G41="",$H41=""),NOT($S41="")),"",IF($B41=0,"n/a",INT(ROUND($N41/$B41*10000,6))/10000))</f>
        <v/>
      </c>
      <c r="P41" s="18" t="str">
        <f aca="false">IF(OR(AND($A41="",$B41="",$C41="",$D41="",$E41="",$F41="",$G41="",$H41=""),NOT($S41="")),"",ROUNDUP(ROUND($M41*10000/(10000-TargetH),9),2))</f>
        <v/>
      </c>
      <c r="Q41" s="18" t="str">
        <f aca="false">IF(OR(AND($A41="",$B41="",$C41="",$D41="",$E41="",$F41="",$G41="",$H41=""),NOT($S41="")),"",MAX(0,ROUND($P41-$B41,2)))</f>
        <v/>
      </c>
      <c r="R41" s="21" t="str">
        <f aca="false">IF(AND($A41="",$B41="",$C41="",$D41="",$E41="",$F41="",$G41="",$H41=""),"",IF(NOT($S41=""),"Check inputs",IF($B41=0,"No fee entered",IF($N41&lt;0,"Losing money on entered costs",IF(ROUND($N41*100,0)*10000&lt;TargetH*ROUND($B41*100,0),"Below your target","Meets your target")))))</f>
        <v/>
      </c>
      <c r="S41" s="22" t="str">
        <f aca="false">IF(AND($A41="",$B41="",$C41="",$D41="",$E41="",$F41="",$G41="",$H41=""),"",TRIM(IF($A41="","Customer/site label is missing. ","")&amp;IF($B41="","Monthly fee is missing. ",IF(NOT(ISNUMBER($B41)),"Monthly fee must be a number. ",IF($B41&lt;0,"Monthly fee can't be negative. ",IF(ROUND($B41,2)&lt;&gt;$B41,"Monthly fee: use up to 2 decimal places. ",IF($B41&gt;99999.99,"Monthly fee: use 99,999.99 or less. ","")))))&amp;IF($C41="","Visits per month is missing. ",IF(NOT(ISNUMBER($C41)),"Visits per month must be a number. ",IF($C41&lt;0,"Visits per month can't be negative. ",IF(ROUND($C41,3)&lt;&gt;$C41,"Visits per month: use up to 3 decimal places. ",IF($C41=0,"Visits per month must be more than 0. ",IF($C41&gt;31,"Visits per month: use 31 or less. ",""))))))&amp;IF($D41="","Service minutes per visit is missing. ",IF(NOT(ISNUMBER($D41)),"Service minutes per visit must be a number. ",IF($D41&lt;0,"Service minutes per visit can't be negative. ",IF(ROUND($D41,2)&lt;&gt;$D41,"Service minutes per visit: use up to 2 decimal places. ",IF($D41=0,"Service minutes per visit must be more than 0. ",IF($D41&gt;600,"Service minutes per visit: use 600 or less. ",""))))))&amp;IF($E41="","Drive minutes per visit is missing. ",IF(NOT(ISNUMBER($E41)),"Drive minutes per visit must be a number. ",IF($E41&lt;0,"Drive minutes per visit can't be negative. ",IF(ROUND($E41,2)&lt;&gt;$E41,"Drive minutes per visit: use up to 2 decimal places. ",IF($E41&gt;600,"Drive minutes per visit: use 600 or less. ","")))))&amp;IF($F41="","Drive miles per visit is missing. ",IF(NOT(ISNUMBER($F41)),"Drive miles per visit must be a number. ",IF($F41&lt;0,"Drive miles per visit can't be negative. ",IF(ROUND($F41,2)&lt;&gt;$F41,"Drive miles per visit: use up to 2 decimal places. ",IF($F41&gt;1000,"Drive miles per visit: use 1,000 or less. ","")))))&amp;IF($G41="","Chemicals per visit is missing. ",IF(NOT(ISNUMBER($G41)),"Chemicals per visit must be a number. ",IF($G41&lt;0,"Chemicals per visit can't be negative. ",IF(ROUND($G41,2)&lt;&gt;$G41,"Chemicals per visit: use up to 2 decimal places. ",IF($G41&gt;9999.99,"Chemicals per visit: use 9,999.99 or less. ","")))))&amp;IF($H41="","Other monthly costs is missing. ",IF(NOT(ISNUMBER($H41)),"Other monthly costs must be a number. ",IF($H41&lt;0,"Other monthly costs can't be negative. ",IF(ROUND($H41,2)&lt;&gt;$H41,"Other monthly costs: use up to 2 decimal places. ",IF($H41&gt;99999.99,"Other monthly costs: use 99,999.99 or less. ","")))))&amp;IF(SettingsOK,"","Settings incomplete.")))</f>
        <v/>
      </c>
      <c r="T41" s="23" t="str">
        <f aca="false">IF(AND($A41="",$B41="",$C41="",$D41="",$E41="",$F41="",$G41="",$H41=""),"",IF(Review!$B$5="Check inputs",IF($R41="Check inputs",ROW(),""),IF($R41="Check inputs",IF(Review!$B$5="All accounts",-2000000000000000+ROW(),""),IF(AND(Review!$B$5="Needs review",$R41="Meets your target"),"",IF($R41="No fee entered",-1000000000000000+ROW(),$N41/$B41+ROW()/1000000000)))))</f>
        <v/>
      </c>
    </row>
    <row r="42" customFormat="false" ht="15" hidden="false" customHeight="false" outlineLevel="0" collapsed="false">
      <c r="A42" s="14"/>
      <c r="B42" s="15"/>
      <c r="C42" s="16"/>
      <c r="D42" s="14"/>
      <c r="E42" s="14"/>
      <c r="F42" s="14"/>
      <c r="G42" s="15"/>
      <c r="H42" s="15"/>
      <c r="I42" s="17" t="str">
        <f aca="false">IF(OR(AND($A42="",$B42="",$C42="",$D42="",$E42="",$F42="",$G42="",$H42=""),NOT($S42="")),"",ROUND($C42*($D42+$E42)/60,4))</f>
        <v/>
      </c>
      <c r="J42" s="18" t="str">
        <f aca="false">IF(OR(AND($A42="",$B42="",$C42="",$D42="",$E42="",$F42="",$G42="",$H42=""),NOT($S42="")),"",ROUND(ROUND($C42*($D42+$E42)/60*$B$5,9),2))</f>
        <v/>
      </c>
      <c r="K42" s="18" t="str">
        <f aca="false">IF(OR(AND($A42="",$B42="",$C42="",$D42="",$E42="",$F42="",$G42="",$H42=""),NOT($S42="")),"",ROUND(ROUND($C42*$F42*$B$6,9),2))</f>
        <v/>
      </c>
      <c r="L42" s="18" t="str">
        <f aca="false">IF(OR(AND($A42="",$B42="",$C42="",$D42="",$E42="",$F42="",$G42="",$H42=""),NOT($S42="")),"",ROUND(ROUND($C42*$G42,9),2))</f>
        <v/>
      </c>
      <c r="M42" s="19" t="str">
        <f aca="false">IF(OR(AND($A42="",$B42="",$C42="",$D42="",$E42="",$F42="",$G42="",$H42=""),NOT($S42="")),"",ROUND($J42+$K42+$L42+$H42,2))</f>
        <v/>
      </c>
      <c r="N42" s="19" t="str">
        <f aca="false">IF(OR(AND($A42="",$B42="",$C42="",$D42="",$E42="",$F42="",$G42="",$H42=""),NOT($S42="")),"",ROUND($B42-$M42,2))</f>
        <v/>
      </c>
      <c r="O42" s="20" t="str">
        <f aca="false">IF(OR(AND($A42="",$B42="",$C42="",$D42="",$E42="",$F42="",$G42="",$H42=""),NOT($S42="")),"",IF($B42=0,"n/a",INT(ROUND($N42/$B42*10000,6))/10000))</f>
        <v/>
      </c>
      <c r="P42" s="18" t="str">
        <f aca="false">IF(OR(AND($A42="",$B42="",$C42="",$D42="",$E42="",$F42="",$G42="",$H42=""),NOT($S42="")),"",ROUNDUP(ROUND($M42*10000/(10000-TargetH),9),2))</f>
        <v/>
      </c>
      <c r="Q42" s="18" t="str">
        <f aca="false">IF(OR(AND($A42="",$B42="",$C42="",$D42="",$E42="",$F42="",$G42="",$H42=""),NOT($S42="")),"",MAX(0,ROUND($P42-$B42,2)))</f>
        <v/>
      </c>
      <c r="R42" s="21" t="str">
        <f aca="false">IF(AND($A42="",$B42="",$C42="",$D42="",$E42="",$F42="",$G42="",$H42=""),"",IF(NOT($S42=""),"Check inputs",IF($B42=0,"No fee entered",IF($N42&lt;0,"Losing money on entered costs",IF(ROUND($N42*100,0)*10000&lt;TargetH*ROUND($B42*100,0),"Below your target","Meets your target")))))</f>
        <v/>
      </c>
      <c r="S42" s="22" t="str">
        <f aca="false">IF(AND($A42="",$B42="",$C42="",$D42="",$E42="",$F42="",$G42="",$H42=""),"",TRIM(IF($A42="","Customer/site label is missing. ","")&amp;IF($B42="","Monthly fee is missing. ",IF(NOT(ISNUMBER($B42)),"Monthly fee must be a number. ",IF($B42&lt;0,"Monthly fee can't be negative. ",IF(ROUND($B42,2)&lt;&gt;$B42,"Monthly fee: use up to 2 decimal places. ",IF($B42&gt;99999.99,"Monthly fee: use 99,999.99 or less. ","")))))&amp;IF($C42="","Visits per month is missing. ",IF(NOT(ISNUMBER($C42)),"Visits per month must be a number. ",IF($C42&lt;0,"Visits per month can't be negative. ",IF(ROUND($C42,3)&lt;&gt;$C42,"Visits per month: use up to 3 decimal places. ",IF($C42=0,"Visits per month must be more than 0. ",IF($C42&gt;31,"Visits per month: use 31 or less. ",""))))))&amp;IF($D42="","Service minutes per visit is missing. ",IF(NOT(ISNUMBER($D42)),"Service minutes per visit must be a number. ",IF($D42&lt;0,"Service minutes per visit can't be negative. ",IF(ROUND($D42,2)&lt;&gt;$D42,"Service minutes per visit: use up to 2 decimal places. ",IF($D42=0,"Service minutes per visit must be more than 0. ",IF($D42&gt;600,"Service minutes per visit: use 600 or less. ",""))))))&amp;IF($E42="","Drive minutes per visit is missing. ",IF(NOT(ISNUMBER($E42)),"Drive minutes per visit must be a number. ",IF($E42&lt;0,"Drive minutes per visit can't be negative. ",IF(ROUND($E42,2)&lt;&gt;$E42,"Drive minutes per visit: use up to 2 decimal places. ",IF($E42&gt;600,"Drive minutes per visit: use 600 or less. ","")))))&amp;IF($F42="","Drive miles per visit is missing. ",IF(NOT(ISNUMBER($F42)),"Drive miles per visit must be a number. ",IF($F42&lt;0,"Drive miles per visit can't be negative. ",IF(ROUND($F42,2)&lt;&gt;$F42,"Drive miles per visit: use up to 2 decimal places. ",IF($F42&gt;1000,"Drive miles per visit: use 1,000 or less. ","")))))&amp;IF($G42="","Chemicals per visit is missing. ",IF(NOT(ISNUMBER($G42)),"Chemicals per visit must be a number. ",IF($G42&lt;0,"Chemicals per visit can't be negative. ",IF(ROUND($G42,2)&lt;&gt;$G42,"Chemicals per visit: use up to 2 decimal places. ",IF($G42&gt;9999.99,"Chemicals per visit: use 9,999.99 or less. ","")))))&amp;IF($H42="","Other monthly costs is missing. ",IF(NOT(ISNUMBER($H42)),"Other monthly costs must be a number. ",IF($H42&lt;0,"Other monthly costs can't be negative. ",IF(ROUND($H42,2)&lt;&gt;$H42,"Other monthly costs: use up to 2 decimal places. ",IF($H42&gt;99999.99,"Other monthly costs: use 99,999.99 or less. ","")))))&amp;IF(SettingsOK,"","Settings incomplete.")))</f>
        <v/>
      </c>
      <c r="T42" s="23" t="str">
        <f aca="false">IF(AND($A42="",$B42="",$C42="",$D42="",$E42="",$F42="",$G42="",$H42=""),"",IF(Review!$B$5="Check inputs",IF($R42="Check inputs",ROW(),""),IF($R42="Check inputs",IF(Review!$B$5="All accounts",-2000000000000000+ROW(),""),IF(AND(Review!$B$5="Needs review",$R42="Meets your target"),"",IF($R42="No fee entered",-1000000000000000+ROW(),$N42/$B42+ROW()/1000000000)))))</f>
        <v/>
      </c>
    </row>
    <row r="43" customFormat="false" ht="15" hidden="false" customHeight="false" outlineLevel="0" collapsed="false">
      <c r="A43" s="14"/>
      <c r="B43" s="15"/>
      <c r="C43" s="16"/>
      <c r="D43" s="14"/>
      <c r="E43" s="14"/>
      <c r="F43" s="14"/>
      <c r="G43" s="15"/>
      <c r="H43" s="15"/>
      <c r="I43" s="17" t="str">
        <f aca="false">IF(OR(AND($A43="",$B43="",$C43="",$D43="",$E43="",$F43="",$G43="",$H43=""),NOT($S43="")),"",ROUND($C43*($D43+$E43)/60,4))</f>
        <v/>
      </c>
      <c r="J43" s="18" t="str">
        <f aca="false">IF(OR(AND($A43="",$B43="",$C43="",$D43="",$E43="",$F43="",$G43="",$H43=""),NOT($S43="")),"",ROUND(ROUND($C43*($D43+$E43)/60*$B$5,9),2))</f>
        <v/>
      </c>
      <c r="K43" s="18" t="str">
        <f aca="false">IF(OR(AND($A43="",$B43="",$C43="",$D43="",$E43="",$F43="",$G43="",$H43=""),NOT($S43="")),"",ROUND(ROUND($C43*$F43*$B$6,9),2))</f>
        <v/>
      </c>
      <c r="L43" s="18" t="str">
        <f aca="false">IF(OR(AND($A43="",$B43="",$C43="",$D43="",$E43="",$F43="",$G43="",$H43=""),NOT($S43="")),"",ROUND(ROUND($C43*$G43,9),2))</f>
        <v/>
      </c>
      <c r="M43" s="19" t="str">
        <f aca="false">IF(OR(AND($A43="",$B43="",$C43="",$D43="",$E43="",$F43="",$G43="",$H43=""),NOT($S43="")),"",ROUND($J43+$K43+$L43+$H43,2))</f>
        <v/>
      </c>
      <c r="N43" s="19" t="str">
        <f aca="false">IF(OR(AND($A43="",$B43="",$C43="",$D43="",$E43="",$F43="",$G43="",$H43=""),NOT($S43="")),"",ROUND($B43-$M43,2))</f>
        <v/>
      </c>
      <c r="O43" s="20" t="str">
        <f aca="false">IF(OR(AND($A43="",$B43="",$C43="",$D43="",$E43="",$F43="",$G43="",$H43=""),NOT($S43="")),"",IF($B43=0,"n/a",INT(ROUND($N43/$B43*10000,6))/10000))</f>
        <v/>
      </c>
      <c r="P43" s="18" t="str">
        <f aca="false">IF(OR(AND($A43="",$B43="",$C43="",$D43="",$E43="",$F43="",$G43="",$H43=""),NOT($S43="")),"",ROUNDUP(ROUND($M43*10000/(10000-TargetH),9),2))</f>
        <v/>
      </c>
      <c r="Q43" s="18" t="str">
        <f aca="false">IF(OR(AND($A43="",$B43="",$C43="",$D43="",$E43="",$F43="",$G43="",$H43=""),NOT($S43="")),"",MAX(0,ROUND($P43-$B43,2)))</f>
        <v/>
      </c>
      <c r="R43" s="21" t="str">
        <f aca="false">IF(AND($A43="",$B43="",$C43="",$D43="",$E43="",$F43="",$G43="",$H43=""),"",IF(NOT($S43=""),"Check inputs",IF($B43=0,"No fee entered",IF($N43&lt;0,"Losing money on entered costs",IF(ROUND($N43*100,0)*10000&lt;TargetH*ROUND($B43*100,0),"Below your target","Meets your target")))))</f>
        <v/>
      </c>
      <c r="S43" s="22" t="str">
        <f aca="false">IF(AND($A43="",$B43="",$C43="",$D43="",$E43="",$F43="",$G43="",$H43=""),"",TRIM(IF($A43="","Customer/site label is missing. ","")&amp;IF($B43="","Monthly fee is missing. ",IF(NOT(ISNUMBER($B43)),"Monthly fee must be a number. ",IF($B43&lt;0,"Monthly fee can't be negative. ",IF(ROUND($B43,2)&lt;&gt;$B43,"Monthly fee: use up to 2 decimal places. ",IF($B43&gt;99999.99,"Monthly fee: use 99,999.99 or less. ","")))))&amp;IF($C43="","Visits per month is missing. ",IF(NOT(ISNUMBER($C43)),"Visits per month must be a number. ",IF($C43&lt;0,"Visits per month can't be negative. ",IF(ROUND($C43,3)&lt;&gt;$C43,"Visits per month: use up to 3 decimal places. ",IF($C43=0,"Visits per month must be more than 0. ",IF($C43&gt;31,"Visits per month: use 31 or less. ",""))))))&amp;IF($D43="","Service minutes per visit is missing. ",IF(NOT(ISNUMBER($D43)),"Service minutes per visit must be a number. ",IF($D43&lt;0,"Service minutes per visit can't be negative. ",IF(ROUND($D43,2)&lt;&gt;$D43,"Service minutes per visit: use up to 2 decimal places. ",IF($D43=0,"Service minutes per visit must be more than 0. ",IF($D43&gt;600,"Service minutes per visit: use 600 or less. ",""))))))&amp;IF($E43="","Drive minutes per visit is missing. ",IF(NOT(ISNUMBER($E43)),"Drive minutes per visit must be a number. ",IF($E43&lt;0,"Drive minutes per visit can't be negative. ",IF(ROUND($E43,2)&lt;&gt;$E43,"Drive minutes per visit: use up to 2 decimal places. ",IF($E43&gt;600,"Drive minutes per visit: use 600 or less. ","")))))&amp;IF($F43="","Drive miles per visit is missing. ",IF(NOT(ISNUMBER($F43)),"Drive miles per visit must be a number. ",IF($F43&lt;0,"Drive miles per visit can't be negative. ",IF(ROUND($F43,2)&lt;&gt;$F43,"Drive miles per visit: use up to 2 decimal places. ",IF($F43&gt;1000,"Drive miles per visit: use 1,000 or less. ","")))))&amp;IF($G43="","Chemicals per visit is missing. ",IF(NOT(ISNUMBER($G43)),"Chemicals per visit must be a number. ",IF($G43&lt;0,"Chemicals per visit can't be negative. ",IF(ROUND($G43,2)&lt;&gt;$G43,"Chemicals per visit: use up to 2 decimal places. ",IF($G43&gt;9999.99,"Chemicals per visit: use 9,999.99 or less. ","")))))&amp;IF($H43="","Other monthly costs is missing. ",IF(NOT(ISNUMBER($H43)),"Other monthly costs must be a number. ",IF($H43&lt;0,"Other monthly costs can't be negative. ",IF(ROUND($H43,2)&lt;&gt;$H43,"Other monthly costs: use up to 2 decimal places. ",IF($H43&gt;99999.99,"Other monthly costs: use 99,999.99 or less. ","")))))&amp;IF(SettingsOK,"","Settings incomplete.")))</f>
        <v/>
      </c>
      <c r="T43" s="23" t="str">
        <f aca="false">IF(AND($A43="",$B43="",$C43="",$D43="",$E43="",$F43="",$G43="",$H43=""),"",IF(Review!$B$5="Check inputs",IF($R43="Check inputs",ROW(),""),IF($R43="Check inputs",IF(Review!$B$5="All accounts",-2000000000000000+ROW(),""),IF(AND(Review!$B$5="Needs review",$R43="Meets your target"),"",IF($R43="No fee entered",-1000000000000000+ROW(),$N43/$B43+ROW()/1000000000)))))</f>
        <v/>
      </c>
    </row>
    <row r="44" customFormat="false" ht="15" hidden="false" customHeight="false" outlineLevel="0" collapsed="false">
      <c r="A44" s="14"/>
      <c r="B44" s="15"/>
      <c r="C44" s="16"/>
      <c r="D44" s="14"/>
      <c r="E44" s="14"/>
      <c r="F44" s="14"/>
      <c r="G44" s="15"/>
      <c r="H44" s="15"/>
      <c r="I44" s="17" t="str">
        <f aca="false">IF(OR(AND($A44="",$B44="",$C44="",$D44="",$E44="",$F44="",$G44="",$H44=""),NOT($S44="")),"",ROUND($C44*($D44+$E44)/60,4))</f>
        <v/>
      </c>
      <c r="J44" s="18" t="str">
        <f aca="false">IF(OR(AND($A44="",$B44="",$C44="",$D44="",$E44="",$F44="",$G44="",$H44=""),NOT($S44="")),"",ROUND(ROUND($C44*($D44+$E44)/60*$B$5,9),2))</f>
        <v/>
      </c>
      <c r="K44" s="18" t="str">
        <f aca="false">IF(OR(AND($A44="",$B44="",$C44="",$D44="",$E44="",$F44="",$G44="",$H44=""),NOT($S44="")),"",ROUND(ROUND($C44*$F44*$B$6,9),2))</f>
        <v/>
      </c>
      <c r="L44" s="18" t="str">
        <f aca="false">IF(OR(AND($A44="",$B44="",$C44="",$D44="",$E44="",$F44="",$G44="",$H44=""),NOT($S44="")),"",ROUND(ROUND($C44*$G44,9),2))</f>
        <v/>
      </c>
      <c r="M44" s="19" t="str">
        <f aca="false">IF(OR(AND($A44="",$B44="",$C44="",$D44="",$E44="",$F44="",$G44="",$H44=""),NOT($S44="")),"",ROUND($J44+$K44+$L44+$H44,2))</f>
        <v/>
      </c>
      <c r="N44" s="19" t="str">
        <f aca="false">IF(OR(AND($A44="",$B44="",$C44="",$D44="",$E44="",$F44="",$G44="",$H44=""),NOT($S44="")),"",ROUND($B44-$M44,2))</f>
        <v/>
      </c>
      <c r="O44" s="20" t="str">
        <f aca="false">IF(OR(AND($A44="",$B44="",$C44="",$D44="",$E44="",$F44="",$G44="",$H44=""),NOT($S44="")),"",IF($B44=0,"n/a",INT(ROUND($N44/$B44*10000,6))/10000))</f>
        <v/>
      </c>
      <c r="P44" s="18" t="str">
        <f aca="false">IF(OR(AND($A44="",$B44="",$C44="",$D44="",$E44="",$F44="",$G44="",$H44=""),NOT($S44="")),"",ROUNDUP(ROUND($M44*10000/(10000-TargetH),9),2))</f>
        <v/>
      </c>
      <c r="Q44" s="18" t="str">
        <f aca="false">IF(OR(AND($A44="",$B44="",$C44="",$D44="",$E44="",$F44="",$G44="",$H44=""),NOT($S44="")),"",MAX(0,ROUND($P44-$B44,2)))</f>
        <v/>
      </c>
      <c r="R44" s="21" t="str">
        <f aca="false">IF(AND($A44="",$B44="",$C44="",$D44="",$E44="",$F44="",$G44="",$H44=""),"",IF(NOT($S44=""),"Check inputs",IF($B44=0,"No fee entered",IF($N44&lt;0,"Losing money on entered costs",IF(ROUND($N44*100,0)*10000&lt;TargetH*ROUND($B44*100,0),"Below your target","Meets your target")))))</f>
        <v/>
      </c>
      <c r="S44" s="22" t="str">
        <f aca="false">IF(AND($A44="",$B44="",$C44="",$D44="",$E44="",$F44="",$G44="",$H44=""),"",TRIM(IF($A44="","Customer/site label is missing. ","")&amp;IF($B44="","Monthly fee is missing. ",IF(NOT(ISNUMBER($B44)),"Monthly fee must be a number. ",IF($B44&lt;0,"Monthly fee can't be negative. ",IF(ROUND($B44,2)&lt;&gt;$B44,"Monthly fee: use up to 2 decimal places. ",IF($B44&gt;99999.99,"Monthly fee: use 99,999.99 or less. ","")))))&amp;IF($C44="","Visits per month is missing. ",IF(NOT(ISNUMBER($C44)),"Visits per month must be a number. ",IF($C44&lt;0,"Visits per month can't be negative. ",IF(ROUND($C44,3)&lt;&gt;$C44,"Visits per month: use up to 3 decimal places. ",IF($C44=0,"Visits per month must be more than 0. ",IF($C44&gt;31,"Visits per month: use 31 or less. ",""))))))&amp;IF($D44="","Service minutes per visit is missing. ",IF(NOT(ISNUMBER($D44)),"Service minutes per visit must be a number. ",IF($D44&lt;0,"Service minutes per visit can't be negative. ",IF(ROUND($D44,2)&lt;&gt;$D44,"Service minutes per visit: use up to 2 decimal places. ",IF($D44=0,"Service minutes per visit must be more than 0. ",IF($D44&gt;600,"Service minutes per visit: use 600 or less. ",""))))))&amp;IF($E44="","Drive minutes per visit is missing. ",IF(NOT(ISNUMBER($E44)),"Drive minutes per visit must be a number. ",IF($E44&lt;0,"Drive minutes per visit can't be negative. ",IF(ROUND($E44,2)&lt;&gt;$E44,"Drive minutes per visit: use up to 2 decimal places. ",IF($E44&gt;600,"Drive minutes per visit: use 600 or less. ","")))))&amp;IF($F44="","Drive miles per visit is missing. ",IF(NOT(ISNUMBER($F44)),"Drive miles per visit must be a number. ",IF($F44&lt;0,"Drive miles per visit can't be negative. ",IF(ROUND($F44,2)&lt;&gt;$F44,"Drive miles per visit: use up to 2 decimal places. ",IF($F44&gt;1000,"Drive miles per visit: use 1,000 or less. ","")))))&amp;IF($G44="","Chemicals per visit is missing. ",IF(NOT(ISNUMBER($G44)),"Chemicals per visit must be a number. ",IF($G44&lt;0,"Chemicals per visit can't be negative. ",IF(ROUND($G44,2)&lt;&gt;$G44,"Chemicals per visit: use up to 2 decimal places. ",IF($G44&gt;9999.99,"Chemicals per visit: use 9,999.99 or less. ","")))))&amp;IF($H44="","Other monthly costs is missing. ",IF(NOT(ISNUMBER($H44)),"Other monthly costs must be a number. ",IF($H44&lt;0,"Other monthly costs can't be negative. ",IF(ROUND($H44,2)&lt;&gt;$H44,"Other monthly costs: use up to 2 decimal places. ",IF($H44&gt;99999.99,"Other monthly costs: use 99,999.99 or less. ","")))))&amp;IF(SettingsOK,"","Settings incomplete.")))</f>
        <v/>
      </c>
      <c r="T44" s="23" t="str">
        <f aca="false">IF(AND($A44="",$B44="",$C44="",$D44="",$E44="",$F44="",$G44="",$H44=""),"",IF(Review!$B$5="Check inputs",IF($R44="Check inputs",ROW(),""),IF($R44="Check inputs",IF(Review!$B$5="All accounts",-2000000000000000+ROW(),""),IF(AND(Review!$B$5="Needs review",$R44="Meets your target"),"",IF($R44="No fee entered",-1000000000000000+ROW(),$N44/$B44+ROW()/1000000000)))))</f>
        <v/>
      </c>
    </row>
    <row r="45" customFormat="false" ht="15" hidden="false" customHeight="false" outlineLevel="0" collapsed="false">
      <c r="A45" s="14"/>
      <c r="B45" s="15"/>
      <c r="C45" s="16"/>
      <c r="D45" s="14"/>
      <c r="E45" s="14"/>
      <c r="F45" s="14"/>
      <c r="G45" s="15"/>
      <c r="H45" s="15"/>
      <c r="I45" s="17" t="str">
        <f aca="false">IF(OR(AND($A45="",$B45="",$C45="",$D45="",$E45="",$F45="",$G45="",$H45=""),NOT($S45="")),"",ROUND($C45*($D45+$E45)/60,4))</f>
        <v/>
      </c>
      <c r="J45" s="18" t="str">
        <f aca="false">IF(OR(AND($A45="",$B45="",$C45="",$D45="",$E45="",$F45="",$G45="",$H45=""),NOT($S45="")),"",ROUND(ROUND($C45*($D45+$E45)/60*$B$5,9),2))</f>
        <v/>
      </c>
      <c r="K45" s="18" t="str">
        <f aca="false">IF(OR(AND($A45="",$B45="",$C45="",$D45="",$E45="",$F45="",$G45="",$H45=""),NOT($S45="")),"",ROUND(ROUND($C45*$F45*$B$6,9),2))</f>
        <v/>
      </c>
      <c r="L45" s="18" t="str">
        <f aca="false">IF(OR(AND($A45="",$B45="",$C45="",$D45="",$E45="",$F45="",$G45="",$H45=""),NOT($S45="")),"",ROUND(ROUND($C45*$G45,9),2))</f>
        <v/>
      </c>
      <c r="M45" s="19" t="str">
        <f aca="false">IF(OR(AND($A45="",$B45="",$C45="",$D45="",$E45="",$F45="",$G45="",$H45=""),NOT($S45="")),"",ROUND($J45+$K45+$L45+$H45,2))</f>
        <v/>
      </c>
      <c r="N45" s="19" t="str">
        <f aca="false">IF(OR(AND($A45="",$B45="",$C45="",$D45="",$E45="",$F45="",$G45="",$H45=""),NOT($S45="")),"",ROUND($B45-$M45,2))</f>
        <v/>
      </c>
      <c r="O45" s="20" t="str">
        <f aca="false">IF(OR(AND($A45="",$B45="",$C45="",$D45="",$E45="",$F45="",$G45="",$H45=""),NOT($S45="")),"",IF($B45=0,"n/a",INT(ROUND($N45/$B45*10000,6))/10000))</f>
        <v/>
      </c>
      <c r="P45" s="18" t="str">
        <f aca="false">IF(OR(AND($A45="",$B45="",$C45="",$D45="",$E45="",$F45="",$G45="",$H45=""),NOT($S45="")),"",ROUNDUP(ROUND($M45*10000/(10000-TargetH),9),2))</f>
        <v/>
      </c>
      <c r="Q45" s="18" t="str">
        <f aca="false">IF(OR(AND($A45="",$B45="",$C45="",$D45="",$E45="",$F45="",$G45="",$H45=""),NOT($S45="")),"",MAX(0,ROUND($P45-$B45,2)))</f>
        <v/>
      </c>
      <c r="R45" s="21" t="str">
        <f aca="false">IF(AND($A45="",$B45="",$C45="",$D45="",$E45="",$F45="",$G45="",$H45=""),"",IF(NOT($S45=""),"Check inputs",IF($B45=0,"No fee entered",IF($N45&lt;0,"Losing money on entered costs",IF(ROUND($N45*100,0)*10000&lt;TargetH*ROUND($B45*100,0),"Below your target","Meets your target")))))</f>
        <v/>
      </c>
      <c r="S45" s="22" t="str">
        <f aca="false">IF(AND($A45="",$B45="",$C45="",$D45="",$E45="",$F45="",$G45="",$H45=""),"",TRIM(IF($A45="","Customer/site label is missing. ","")&amp;IF($B45="","Monthly fee is missing. ",IF(NOT(ISNUMBER($B45)),"Monthly fee must be a number. ",IF($B45&lt;0,"Monthly fee can't be negative. ",IF(ROUND($B45,2)&lt;&gt;$B45,"Monthly fee: use up to 2 decimal places. ",IF($B45&gt;99999.99,"Monthly fee: use 99,999.99 or less. ","")))))&amp;IF($C45="","Visits per month is missing. ",IF(NOT(ISNUMBER($C45)),"Visits per month must be a number. ",IF($C45&lt;0,"Visits per month can't be negative. ",IF(ROUND($C45,3)&lt;&gt;$C45,"Visits per month: use up to 3 decimal places. ",IF($C45=0,"Visits per month must be more than 0. ",IF($C45&gt;31,"Visits per month: use 31 or less. ",""))))))&amp;IF($D45="","Service minutes per visit is missing. ",IF(NOT(ISNUMBER($D45)),"Service minutes per visit must be a number. ",IF($D45&lt;0,"Service minutes per visit can't be negative. ",IF(ROUND($D45,2)&lt;&gt;$D45,"Service minutes per visit: use up to 2 decimal places. ",IF($D45=0,"Service minutes per visit must be more than 0. ",IF($D45&gt;600,"Service minutes per visit: use 600 or less. ",""))))))&amp;IF($E45="","Drive minutes per visit is missing. ",IF(NOT(ISNUMBER($E45)),"Drive minutes per visit must be a number. ",IF($E45&lt;0,"Drive minutes per visit can't be negative. ",IF(ROUND($E45,2)&lt;&gt;$E45,"Drive minutes per visit: use up to 2 decimal places. ",IF($E45&gt;600,"Drive minutes per visit: use 600 or less. ","")))))&amp;IF($F45="","Drive miles per visit is missing. ",IF(NOT(ISNUMBER($F45)),"Drive miles per visit must be a number. ",IF($F45&lt;0,"Drive miles per visit can't be negative. ",IF(ROUND($F45,2)&lt;&gt;$F45,"Drive miles per visit: use up to 2 decimal places. ",IF($F45&gt;1000,"Drive miles per visit: use 1,000 or less. ","")))))&amp;IF($G45="","Chemicals per visit is missing. ",IF(NOT(ISNUMBER($G45)),"Chemicals per visit must be a number. ",IF($G45&lt;0,"Chemicals per visit can't be negative. ",IF(ROUND($G45,2)&lt;&gt;$G45,"Chemicals per visit: use up to 2 decimal places. ",IF($G45&gt;9999.99,"Chemicals per visit: use 9,999.99 or less. ","")))))&amp;IF($H45="","Other monthly costs is missing. ",IF(NOT(ISNUMBER($H45)),"Other monthly costs must be a number. ",IF($H45&lt;0,"Other monthly costs can't be negative. ",IF(ROUND($H45,2)&lt;&gt;$H45,"Other monthly costs: use up to 2 decimal places. ",IF($H45&gt;99999.99,"Other monthly costs: use 99,999.99 or less. ","")))))&amp;IF(SettingsOK,"","Settings incomplete.")))</f>
        <v/>
      </c>
      <c r="T45" s="23" t="str">
        <f aca="false">IF(AND($A45="",$B45="",$C45="",$D45="",$E45="",$F45="",$G45="",$H45=""),"",IF(Review!$B$5="Check inputs",IF($R45="Check inputs",ROW(),""),IF($R45="Check inputs",IF(Review!$B$5="All accounts",-2000000000000000+ROW(),""),IF(AND(Review!$B$5="Needs review",$R45="Meets your target"),"",IF($R45="No fee entered",-1000000000000000+ROW(),$N45/$B45+ROW()/1000000000)))))</f>
        <v/>
      </c>
    </row>
    <row r="46" customFormat="false" ht="15" hidden="false" customHeight="false" outlineLevel="0" collapsed="false">
      <c r="A46" s="14"/>
      <c r="B46" s="15"/>
      <c r="C46" s="16"/>
      <c r="D46" s="14"/>
      <c r="E46" s="14"/>
      <c r="F46" s="14"/>
      <c r="G46" s="15"/>
      <c r="H46" s="15"/>
      <c r="I46" s="17" t="str">
        <f aca="false">IF(OR(AND($A46="",$B46="",$C46="",$D46="",$E46="",$F46="",$G46="",$H46=""),NOT($S46="")),"",ROUND($C46*($D46+$E46)/60,4))</f>
        <v/>
      </c>
      <c r="J46" s="18" t="str">
        <f aca="false">IF(OR(AND($A46="",$B46="",$C46="",$D46="",$E46="",$F46="",$G46="",$H46=""),NOT($S46="")),"",ROUND(ROUND($C46*($D46+$E46)/60*$B$5,9),2))</f>
        <v/>
      </c>
      <c r="K46" s="18" t="str">
        <f aca="false">IF(OR(AND($A46="",$B46="",$C46="",$D46="",$E46="",$F46="",$G46="",$H46=""),NOT($S46="")),"",ROUND(ROUND($C46*$F46*$B$6,9),2))</f>
        <v/>
      </c>
      <c r="L46" s="18" t="str">
        <f aca="false">IF(OR(AND($A46="",$B46="",$C46="",$D46="",$E46="",$F46="",$G46="",$H46=""),NOT($S46="")),"",ROUND(ROUND($C46*$G46,9),2))</f>
        <v/>
      </c>
      <c r="M46" s="19" t="str">
        <f aca="false">IF(OR(AND($A46="",$B46="",$C46="",$D46="",$E46="",$F46="",$G46="",$H46=""),NOT($S46="")),"",ROUND($J46+$K46+$L46+$H46,2))</f>
        <v/>
      </c>
      <c r="N46" s="19" t="str">
        <f aca="false">IF(OR(AND($A46="",$B46="",$C46="",$D46="",$E46="",$F46="",$G46="",$H46=""),NOT($S46="")),"",ROUND($B46-$M46,2))</f>
        <v/>
      </c>
      <c r="O46" s="20" t="str">
        <f aca="false">IF(OR(AND($A46="",$B46="",$C46="",$D46="",$E46="",$F46="",$G46="",$H46=""),NOT($S46="")),"",IF($B46=0,"n/a",INT(ROUND($N46/$B46*10000,6))/10000))</f>
        <v/>
      </c>
      <c r="P46" s="18" t="str">
        <f aca="false">IF(OR(AND($A46="",$B46="",$C46="",$D46="",$E46="",$F46="",$G46="",$H46=""),NOT($S46="")),"",ROUNDUP(ROUND($M46*10000/(10000-TargetH),9),2))</f>
        <v/>
      </c>
      <c r="Q46" s="18" t="str">
        <f aca="false">IF(OR(AND($A46="",$B46="",$C46="",$D46="",$E46="",$F46="",$G46="",$H46=""),NOT($S46="")),"",MAX(0,ROUND($P46-$B46,2)))</f>
        <v/>
      </c>
      <c r="R46" s="21" t="str">
        <f aca="false">IF(AND($A46="",$B46="",$C46="",$D46="",$E46="",$F46="",$G46="",$H46=""),"",IF(NOT($S46=""),"Check inputs",IF($B46=0,"No fee entered",IF($N46&lt;0,"Losing money on entered costs",IF(ROUND($N46*100,0)*10000&lt;TargetH*ROUND($B46*100,0),"Below your target","Meets your target")))))</f>
        <v/>
      </c>
      <c r="S46" s="22" t="str">
        <f aca="false">IF(AND($A46="",$B46="",$C46="",$D46="",$E46="",$F46="",$G46="",$H46=""),"",TRIM(IF($A46="","Customer/site label is missing. ","")&amp;IF($B46="","Monthly fee is missing. ",IF(NOT(ISNUMBER($B46)),"Monthly fee must be a number. ",IF($B46&lt;0,"Monthly fee can't be negative. ",IF(ROUND($B46,2)&lt;&gt;$B46,"Monthly fee: use up to 2 decimal places. ",IF($B46&gt;99999.99,"Monthly fee: use 99,999.99 or less. ","")))))&amp;IF($C46="","Visits per month is missing. ",IF(NOT(ISNUMBER($C46)),"Visits per month must be a number. ",IF($C46&lt;0,"Visits per month can't be negative. ",IF(ROUND($C46,3)&lt;&gt;$C46,"Visits per month: use up to 3 decimal places. ",IF($C46=0,"Visits per month must be more than 0. ",IF($C46&gt;31,"Visits per month: use 31 or less. ",""))))))&amp;IF($D46="","Service minutes per visit is missing. ",IF(NOT(ISNUMBER($D46)),"Service minutes per visit must be a number. ",IF($D46&lt;0,"Service minutes per visit can't be negative. ",IF(ROUND($D46,2)&lt;&gt;$D46,"Service minutes per visit: use up to 2 decimal places. ",IF($D46=0,"Service minutes per visit must be more than 0. ",IF($D46&gt;600,"Service minutes per visit: use 600 or less. ",""))))))&amp;IF($E46="","Drive minutes per visit is missing. ",IF(NOT(ISNUMBER($E46)),"Drive minutes per visit must be a number. ",IF($E46&lt;0,"Drive minutes per visit can't be negative. ",IF(ROUND($E46,2)&lt;&gt;$E46,"Drive minutes per visit: use up to 2 decimal places. ",IF($E46&gt;600,"Drive minutes per visit: use 600 or less. ","")))))&amp;IF($F46="","Drive miles per visit is missing. ",IF(NOT(ISNUMBER($F46)),"Drive miles per visit must be a number. ",IF($F46&lt;0,"Drive miles per visit can't be negative. ",IF(ROUND($F46,2)&lt;&gt;$F46,"Drive miles per visit: use up to 2 decimal places. ",IF($F46&gt;1000,"Drive miles per visit: use 1,000 or less. ","")))))&amp;IF($G46="","Chemicals per visit is missing. ",IF(NOT(ISNUMBER($G46)),"Chemicals per visit must be a number. ",IF($G46&lt;0,"Chemicals per visit can't be negative. ",IF(ROUND($G46,2)&lt;&gt;$G46,"Chemicals per visit: use up to 2 decimal places. ",IF($G46&gt;9999.99,"Chemicals per visit: use 9,999.99 or less. ","")))))&amp;IF($H46="","Other monthly costs is missing. ",IF(NOT(ISNUMBER($H46)),"Other monthly costs must be a number. ",IF($H46&lt;0,"Other monthly costs can't be negative. ",IF(ROUND($H46,2)&lt;&gt;$H46,"Other monthly costs: use up to 2 decimal places. ",IF($H46&gt;99999.99,"Other monthly costs: use 99,999.99 or less. ","")))))&amp;IF(SettingsOK,"","Settings incomplete.")))</f>
        <v/>
      </c>
      <c r="T46" s="23" t="str">
        <f aca="false">IF(AND($A46="",$B46="",$C46="",$D46="",$E46="",$F46="",$G46="",$H46=""),"",IF(Review!$B$5="Check inputs",IF($R46="Check inputs",ROW(),""),IF($R46="Check inputs",IF(Review!$B$5="All accounts",-2000000000000000+ROW(),""),IF(AND(Review!$B$5="Needs review",$R46="Meets your target"),"",IF($R46="No fee entered",-1000000000000000+ROW(),$N46/$B46+ROW()/1000000000)))))</f>
        <v/>
      </c>
    </row>
    <row r="47" customFormat="false" ht="15" hidden="false" customHeight="false" outlineLevel="0" collapsed="false">
      <c r="A47" s="14"/>
      <c r="B47" s="15"/>
      <c r="C47" s="16"/>
      <c r="D47" s="14"/>
      <c r="E47" s="14"/>
      <c r="F47" s="14"/>
      <c r="G47" s="15"/>
      <c r="H47" s="15"/>
      <c r="I47" s="17" t="str">
        <f aca="false">IF(OR(AND($A47="",$B47="",$C47="",$D47="",$E47="",$F47="",$G47="",$H47=""),NOT($S47="")),"",ROUND($C47*($D47+$E47)/60,4))</f>
        <v/>
      </c>
      <c r="J47" s="18" t="str">
        <f aca="false">IF(OR(AND($A47="",$B47="",$C47="",$D47="",$E47="",$F47="",$G47="",$H47=""),NOT($S47="")),"",ROUND(ROUND($C47*($D47+$E47)/60*$B$5,9),2))</f>
        <v/>
      </c>
      <c r="K47" s="18" t="str">
        <f aca="false">IF(OR(AND($A47="",$B47="",$C47="",$D47="",$E47="",$F47="",$G47="",$H47=""),NOT($S47="")),"",ROUND(ROUND($C47*$F47*$B$6,9),2))</f>
        <v/>
      </c>
      <c r="L47" s="18" t="str">
        <f aca="false">IF(OR(AND($A47="",$B47="",$C47="",$D47="",$E47="",$F47="",$G47="",$H47=""),NOT($S47="")),"",ROUND(ROUND($C47*$G47,9),2))</f>
        <v/>
      </c>
      <c r="M47" s="19" t="str">
        <f aca="false">IF(OR(AND($A47="",$B47="",$C47="",$D47="",$E47="",$F47="",$G47="",$H47=""),NOT($S47="")),"",ROUND($J47+$K47+$L47+$H47,2))</f>
        <v/>
      </c>
      <c r="N47" s="19" t="str">
        <f aca="false">IF(OR(AND($A47="",$B47="",$C47="",$D47="",$E47="",$F47="",$G47="",$H47=""),NOT($S47="")),"",ROUND($B47-$M47,2))</f>
        <v/>
      </c>
      <c r="O47" s="20" t="str">
        <f aca="false">IF(OR(AND($A47="",$B47="",$C47="",$D47="",$E47="",$F47="",$G47="",$H47=""),NOT($S47="")),"",IF($B47=0,"n/a",INT(ROUND($N47/$B47*10000,6))/10000))</f>
        <v/>
      </c>
      <c r="P47" s="18" t="str">
        <f aca="false">IF(OR(AND($A47="",$B47="",$C47="",$D47="",$E47="",$F47="",$G47="",$H47=""),NOT($S47="")),"",ROUNDUP(ROUND($M47*10000/(10000-TargetH),9),2))</f>
        <v/>
      </c>
      <c r="Q47" s="18" t="str">
        <f aca="false">IF(OR(AND($A47="",$B47="",$C47="",$D47="",$E47="",$F47="",$G47="",$H47=""),NOT($S47="")),"",MAX(0,ROUND($P47-$B47,2)))</f>
        <v/>
      </c>
      <c r="R47" s="21" t="str">
        <f aca="false">IF(AND($A47="",$B47="",$C47="",$D47="",$E47="",$F47="",$G47="",$H47=""),"",IF(NOT($S47=""),"Check inputs",IF($B47=0,"No fee entered",IF($N47&lt;0,"Losing money on entered costs",IF(ROUND($N47*100,0)*10000&lt;TargetH*ROUND($B47*100,0),"Below your target","Meets your target")))))</f>
        <v/>
      </c>
      <c r="S47" s="22" t="str">
        <f aca="false">IF(AND($A47="",$B47="",$C47="",$D47="",$E47="",$F47="",$G47="",$H47=""),"",TRIM(IF($A47="","Customer/site label is missing. ","")&amp;IF($B47="","Monthly fee is missing. ",IF(NOT(ISNUMBER($B47)),"Monthly fee must be a number. ",IF($B47&lt;0,"Monthly fee can't be negative. ",IF(ROUND($B47,2)&lt;&gt;$B47,"Monthly fee: use up to 2 decimal places. ",IF($B47&gt;99999.99,"Monthly fee: use 99,999.99 or less. ","")))))&amp;IF($C47="","Visits per month is missing. ",IF(NOT(ISNUMBER($C47)),"Visits per month must be a number. ",IF($C47&lt;0,"Visits per month can't be negative. ",IF(ROUND($C47,3)&lt;&gt;$C47,"Visits per month: use up to 3 decimal places. ",IF($C47=0,"Visits per month must be more than 0. ",IF($C47&gt;31,"Visits per month: use 31 or less. ",""))))))&amp;IF($D47="","Service minutes per visit is missing. ",IF(NOT(ISNUMBER($D47)),"Service minutes per visit must be a number. ",IF($D47&lt;0,"Service minutes per visit can't be negative. ",IF(ROUND($D47,2)&lt;&gt;$D47,"Service minutes per visit: use up to 2 decimal places. ",IF($D47=0,"Service minutes per visit must be more than 0. ",IF($D47&gt;600,"Service minutes per visit: use 600 or less. ",""))))))&amp;IF($E47="","Drive minutes per visit is missing. ",IF(NOT(ISNUMBER($E47)),"Drive minutes per visit must be a number. ",IF($E47&lt;0,"Drive minutes per visit can't be negative. ",IF(ROUND($E47,2)&lt;&gt;$E47,"Drive minutes per visit: use up to 2 decimal places. ",IF($E47&gt;600,"Drive minutes per visit: use 600 or less. ","")))))&amp;IF($F47="","Drive miles per visit is missing. ",IF(NOT(ISNUMBER($F47)),"Drive miles per visit must be a number. ",IF($F47&lt;0,"Drive miles per visit can't be negative. ",IF(ROUND($F47,2)&lt;&gt;$F47,"Drive miles per visit: use up to 2 decimal places. ",IF($F47&gt;1000,"Drive miles per visit: use 1,000 or less. ","")))))&amp;IF($G47="","Chemicals per visit is missing. ",IF(NOT(ISNUMBER($G47)),"Chemicals per visit must be a number. ",IF($G47&lt;0,"Chemicals per visit can't be negative. ",IF(ROUND($G47,2)&lt;&gt;$G47,"Chemicals per visit: use up to 2 decimal places. ",IF($G47&gt;9999.99,"Chemicals per visit: use 9,999.99 or less. ","")))))&amp;IF($H47="","Other monthly costs is missing. ",IF(NOT(ISNUMBER($H47)),"Other monthly costs must be a number. ",IF($H47&lt;0,"Other monthly costs can't be negative. ",IF(ROUND($H47,2)&lt;&gt;$H47,"Other monthly costs: use up to 2 decimal places. ",IF($H47&gt;99999.99,"Other monthly costs: use 99,999.99 or less. ","")))))&amp;IF(SettingsOK,"","Settings incomplete.")))</f>
        <v/>
      </c>
      <c r="T47" s="23" t="str">
        <f aca="false">IF(AND($A47="",$B47="",$C47="",$D47="",$E47="",$F47="",$G47="",$H47=""),"",IF(Review!$B$5="Check inputs",IF($R47="Check inputs",ROW(),""),IF($R47="Check inputs",IF(Review!$B$5="All accounts",-2000000000000000+ROW(),""),IF(AND(Review!$B$5="Needs review",$R47="Meets your target"),"",IF($R47="No fee entered",-1000000000000000+ROW(),$N47/$B47+ROW()/1000000000)))))</f>
        <v/>
      </c>
    </row>
    <row r="48" customFormat="false" ht="15" hidden="false" customHeight="false" outlineLevel="0" collapsed="false">
      <c r="A48" s="14"/>
      <c r="B48" s="15"/>
      <c r="C48" s="16"/>
      <c r="D48" s="14"/>
      <c r="E48" s="14"/>
      <c r="F48" s="14"/>
      <c r="G48" s="15"/>
      <c r="H48" s="15"/>
      <c r="I48" s="17" t="str">
        <f aca="false">IF(OR(AND($A48="",$B48="",$C48="",$D48="",$E48="",$F48="",$G48="",$H48=""),NOT($S48="")),"",ROUND($C48*($D48+$E48)/60,4))</f>
        <v/>
      </c>
      <c r="J48" s="18" t="str">
        <f aca="false">IF(OR(AND($A48="",$B48="",$C48="",$D48="",$E48="",$F48="",$G48="",$H48=""),NOT($S48="")),"",ROUND(ROUND($C48*($D48+$E48)/60*$B$5,9),2))</f>
        <v/>
      </c>
      <c r="K48" s="18" t="str">
        <f aca="false">IF(OR(AND($A48="",$B48="",$C48="",$D48="",$E48="",$F48="",$G48="",$H48=""),NOT($S48="")),"",ROUND(ROUND($C48*$F48*$B$6,9),2))</f>
        <v/>
      </c>
      <c r="L48" s="18" t="str">
        <f aca="false">IF(OR(AND($A48="",$B48="",$C48="",$D48="",$E48="",$F48="",$G48="",$H48=""),NOT($S48="")),"",ROUND(ROUND($C48*$G48,9),2))</f>
        <v/>
      </c>
      <c r="M48" s="19" t="str">
        <f aca="false">IF(OR(AND($A48="",$B48="",$C48="",$D48="",$E48="",$F48="",$G48="",$H48=""),NOT($S48="")),"",ROUND($J48+$K48+$L48+$H48,2))</f>
        <v/>
      </c>
      <c r="N48" s="19" t="str">
        <f aca="false">IF(OR(AND($A48="",$B48="",$C48="",$D48="",$E48="",$F48="",$G48="",$H48=""),NOT($S48="")),"",ROUND($B48-$M48,2))</f>
        <v/>
      </c>
      <c r="O48" s="20" t="str">
        <f aca="false">IF(OR(AND($A48="",$B48="",$C48="",$D48="",$E48="",$F48="",$G48="",$H48=""),NOT($S48="")),"",IF($B48=0,"n/a",INT(ROUND($N48/$B48*10000,6))/10000))</f>
        <v/>
      </c>
      <c r="P48" s="18" t="str">
        <f aca="false">IF(OR(AND($A48="",$B48="",$C48="",$D48="",$E48="",$F48="",$G48="",$H48=""),NOT($S48="")),"",ROUNDUP(ROUND($M48*10000/(10000-TargetH),9),2))</f>
        <v/>
      </c>
      <c r="Q48" s="18" t="str">
        <f aca="false">IF(OR(AND($A48="",$B48="",$C48="",$D48="",$E48="",$F48="",$G48="",$H48=""),NOT($S48="")),"",MAX(0,ROUND($P48-$B48,2)))</f>
        <v/>
      </c>
      <c r="R48" s="21" t="str">
        <f aca="false">IF(AND($A48="",$B48="",$C48="",$D48="",$E48="",$F48="",$G48="",$H48=""),"",IF(NOT($S48=""),"Check inputs",IF($B48=0,"No fee entered",IF($N48&lt;0,"Losing money on entered costs",IF(ROUND($N48*100,0)*10000&lt;TargetH*ROUND($B48*100,0),"Below your target","Meets your target")))))</f>
        <v/>
      </c>
      <c r="S48" s="22" t="str">
        <f aca="false">IF(AND($A48="",$B48="",$C48="",$D48="",$E48="",$F48="",$G48="",$H48=""),"",TRIM(IF($A48="","Customer/site label is missing. ","")&amp;IF($B48="","Monthly fee is missing. ",IF(NOT(ISNUMBER($B48)),"Monthly fee must be a number. ",IF($B48&lt;0,"Monthly fee can't be negative. ",IF(ROUND($B48,2)&lt;&gt;$B48,"Monthly fee: use up to 2 decimal places. ",IF($B48&gt;99999.99,"Monthly fee: use 99,999.99 or less. ","")))))&amp;IF($C48="","Visits per month is missing. ",IF(NOT(ISNUMBER($C48)),"Visits per month must be a number. ",IF($C48&lt;0,"Visits per month can't be negative. ",IF(ROUND($C48,3)&lt;&gt;$C48,"Visits per month: use up to 3 decimal places. ",IF($C48=0,"Visits per month must be more than 0. ",IF($C48&gt;31,"Visits per month: use 31 or less. ",""))))))&amp;IF($D48="","Service minutes per visit is missing. ",IF(NOT(ISNUMBER($D48)),"Service minutes per visit must be a number. ",IF($D48&lt;0,"Service minutes per visit can't be negative. ",IF(ROUND($D48,2)&lt;&gt;$D48,"Service minutes per visit: use up to 2 decimal places. ",IF($D48=0,"Service minutes per visit must be more than 0. ",IF($D48&gt;600,"Service minutes per visit: use 600 or less. ",""))))))&amp;IF($E48="","Drive minutes per visit is missing. ",IF(NOT(ISNUMBER($E48)),"Drive minutes per visit must be a number. ",IF($E48&lt;0,"Drive minutes per visit can't be negative. ",IF(ROUND($E48,2)&lt;&gt;$E48,"Drive minutes per visit: use up to 2 decimal places. ",IF($E48&gt;600,"Drive minutes per visit: use 600 or less. ","")))))&amp;IF($F48="","Drive miles per visit is missing. ",IF(NOT(ISNUMBER($F48)),"Drive miles per visit must be a number. ",IF($F48&lt;0,"Drive miles per visit can't be negative. ",IF(ROUND($F48,2)&lt;&gt;$F48,"Drive miles per visit: use up to 2 decimal places. ",IF($F48&gt;1000,"Drive miles per visit: use 1,000 or less. ","")))))&amp;IF($G48="","Chemicals per visit is missing. ",IF(NOT(ISNUMBER($G48)),"Chemicals per visit must be a number. ",IF($G48&lt;0,"Chemicals per visit can't be negative. ",IF(ROUND($G48,2)&lt;&gt;$G48,"Chemicals per visit: use up to 2 decimal places. ",IF($G48&gt;9999.99,"Chemicals per visit: use 9,999.99 or less. ","")))))&amp;IF($H48="","Other monthly costs is missing. ",IF(NOT(ISNUMBER($H48)),"Other monthly costs must be a number. ",IF($H48&lt;0,"Other monthly costs can't be negative. ",IF(ROUND($H48,2)&lt;&gt;$H48,"Other monthly costs: use up to 2 decimal places. ",IF($H48&gt;99999.99,"Other monthly costs: use 99,999.99 or less. ","")))))&amp;IF(SettingsOK,"","Settings incomplete.")))</f>
        <v/>
      </c>
      <c r="T48" s="23" t="str">
        <f aca="false">IF(AND($A48="",$B48="",$C48="",$D48="",$E48="",$F48="",$G48="",$H48=""),"",IF(Review!$B$5="Check inputs",IF($R48="Check inputs",ROW(),""),IF($R48="Check inputs",IF(Review!$B$5="All accounts",-2000000000000000+ROW(),""),IF(AND(Review!$B$5="Needs review",$R48="Meets your target"),"",IF($R48="No fee entered",-1000000000000000+ROW(),$N48/$B48+ROW()/1000000000)))))</f>
        <v/>
      </c>
    </row>
    <row r="49" customFormat="false" ht="15" hidden="false" customHeight="false" outlineLevel="0" collapsed="false">
      <c r="A49" s="14"/>
      <c r="B49" s="15"/>
      <c r="C49" s="16"/>
      <c r="D49" s="14"/>
      <c r="E49" s="14"/>
      <c r="F49" s="14"/>
      <c r="G49" s="15"/>
      <c r="H49" s="15"/>
      <c r="I49" s="17" t="str">
        <f aca="false">IF(OR(AND($A49="",$B49="",$C49="",$D49="",$E49="",$F49="",$G49="",$H49=""),NOT($S49="")),"",ROUND($C49*($D49+$E49)/60,4))</f>
        <v/>
      </c>
      <c r="J49" s="18" t="str">
        <f aca="false">IF(OR(AND($A49="",$B49="",$C49="",$D49="",$E49="",$F49="",$G49="",$H49=""),NOT($S49="")),"",ROUND(ROUND($C49*($D49+$E49)/60*$B$5,9),2))</f>
        <v/>
      </c>
      <c r="K49" s="18" t="str">
        <f aca="false">IF(OR(AND($A49="",$B49="",$C49="",$D49="",$E49="",$F49="",$G49="",$H49=""),NOT($S49="")),"",ROUND(ROUND($C49*$F49*$B$6,9),2))</f>
        <v/>
      </c>
      <c r="L49" s="18" t="str">
        <f aca="false">IF(OR(AND($A49="",$B49="",$C49="",$D49="",$E49="",$F49="",$G49="",$H49=""),NOT($S49="")),"",ROUND(ROUND($C49*$G49,9),2))</f>
        <v/>
      </c>
      <c r="M49" s="19" t="str">
        <f aca="false">IF(OR(AND($A49="",$B49="",$C49="",$D49="",$E49="",$F49="",$G49="",$H49=""),NOT($S49="")),"",ROUND($J49+$K49+$L49+$H49,2))</f>
        <v/>
      </c>
      <c r="N49" s="19" t="str">
        <f aca="false">IF(OR(AND($A49="",$B49="",$C49="",$D49="",$E49="",$F49="",$G49="",$H49=""),NOT($S49="")),"",ROUND($B49-$M49,2))</f>
        <v/>
      </c>
      <c r="O49" s="20" t="str">
        <f aca="false">IF(OR(AND($A49="",$B49="",$C49="",$D49="",$E49="",$F49="",$G49="",$H49=""),NOT($S49="")),"",IF($B49=0,"n/a",INT(ROUND($N49/$B49*10000,6))/10000))</f>
        <v/>
      </c>
      <c r="P49" s="18" t="str">
        <f aca="false">IF(OR(AND($A49="",$B49="",$C49="",$D49="",$E49="",$F49="",$G49="",$H49=""),NOT($S49="")),"",ROUNDUP(ROUND($M49*10000/(10000-TargetH),9),2))</f>
        <v/>
      </c>
      <c r="Q49" s="18" t="str">
        <f aca="false">IF(OR(AND($A49="",$B49="",$C49="",$D49="",$E49="",$F49="",$G49="",$H49=""),NOT($S49="")),"",MAX(0,ROUND($P49-$B49,2)))</f>
        <v/>
      </c>
      <c r="R49" s="21" t="str">
        <f aca="false">IF(AND($A49="",$B49="",$C49="",$D49="",$E49="",$F49="",$G49="",$H49=""),"",IF(NOT($S49=""),"Check inputs",IF($B49=0,"No fee entered",IF($N49&lt;0,"Losing money on entered costs",IF(ROUND($N49*100,0)*10000&lt;TargetH*ROUND($B49*100,0),"Below your target","Meets your target")))))</f>
        <v/>
      </c>
      <c r="S49" s="22" t="str">
        <f aca="false">IF(AND($A49="",$B49="",$C49="",$D49="",$E49="",$F49="",$G49="",$H49=""),"",TRIM(IF($A49="","Customer/site label is missing. ","")&amp;IF($B49="","Monthly fee is missing. ",IF(NOT(ISNUMBER($B49)),"Monthly fee must be a number. ",IF($B49&lt;0,"Monthly fee can't be negative. ",IF(ROUND($B49,2)&lt;&gt;$B49,"Monthly fee: use up to 2 decimal places. ",IF($B49&gt;99999.99,"Monthly fee: use 99,999.99 or less. ","")))))&amp;IF($C49="","Visits per month is missing. ",IF(NOT(ISNUMBER($C49)),"Visits per month must be a number. ",IF($C49&lt;0,"Visits per month can't be negative. ",IF(ROUND($C49,3)&lt;&gt;$C49,"Visits per month: use up to 3 decimal places. ",IF($C49=0,"Visits per month must be more than 0. ",IF($C49&gt;31,"Visits per month: use 31 or less. ",""))))))&amp;IF($D49="","Service minutes per visit is missing. ",IF(NOT(ISNUMBER($D49)),"Service minutes per visit must be a number. ",IF($D49&lt;0,"Service minutes per visit can't be negative. ",IF(ROUND($D49,2)&lt;&gt;$D49,"Service minutes per visit: use up to 2 decimal places. ",IF($D49=0,"Service minutes per visit must be more than 0. ",IF($D49&gt;600,"Service minutes per visit: use 600 or less. ",""))))))&amp;IF($E49="","Drive minutes per visit is missing. ",IF(NOT(ISNUMBER($E49)),"Drive minutes per visit must be a number. ",IF($E49&lt;0,"Drive minutes per visit can't be negative. ",IF(ROUND($E49,2)&lt;&gt;$E49,"Drive minutes per visit: use up to 2 decimal places. ",IF($E49&gt;600,"Drive minutes per visit: use 600 or less. ","")))))&amp;IF($F49="","Drive miles per visit is missing. ",IF(NOT(ISNUMBER($F49)),"Drive miles per visit must be a number. ",IF($F49&lt;0,"Drive miles per visit can't be negative. ",IF(ROUND($F49,2)&lt;&gt;$F49,"Drive miles per visit: use up to 2 decimal places. ",IF($F49&gt;1000,"Drive miles per visit: use 1,000 or less. ","")))))&amp;IF($G49="","Chemicals per visit is missing. ",IF(NOT(ISNUMBER($G49)),"Chemicals per visit must be a number. ",IF($G49&lt;0,"Chemicals per visit can't be negative. ",IF(ROUND($G49,2)&lt;&gt;$G49,"Chemicals per visit: use up to 2 decimal places. ",IF($G49&gt;9999.99,"Chemicals per visit: use 9,999.99 or less. ","")))))&amp;IF($H49="","Other monthly costs is missing. ",IF(NOT(ISNUMBER($H49)),"Other monthly costs must be a number. ",IF($H49&lt;0,"Other monthly costs can't be negative. ",IF(ROUND($H49,2)&lt;&gt;$H49,"Other monthly costs: use up to 2 decimal places. ",IF($H49&gt;99999.99,"Other monthly costs: use 99,999.99 or less. ","")))))&amp;IF(SettingsOK,"","Settings incomplete.")))</f>
        <v/>
      </c>
      <c r="T49" s="23" t="str">
        <f aca="false">IF(AND($A49="",$B49="",$C49="",$D49="",$E49="",$F49="",$G49="",$H49=""),"",IF(Review!$B$5="Check inputs",IF($R49="Check inputs",ROW(),""),IF($R49="Check inputs",IF(Review!$B$5="All accounts",-2000000000000000+ROW(),""),IF(AND(Review!$B$5="Needs review",$R49="Meets your target"),"",IF($R49="No fee entered",-1000000000000000+ROW(),$N49/$B49+ROW()/1000000000)))))</f>
        <v/>
      </c>
    </row>
    <row r="50" customFormat="false" ht="15" hidden="false" customHeight="false" outlineLevel="0" collapsed="false">
      <c r="A50" s="14"/>
      <c r="B50" s="15"/>
      <c r="C50" s="16"/>
      <c r="D50" s="14"/>
      <c r="E50" s="14"/>
      <c r="F50" s="14"/>
      <c r="G50" s="15"/>
      <c r="H50" s="15"/>
      <c r="I50" s="17" t="str">
        <f aca="false">IF(OR(AND($A50="",$B50="",$C50="",$D50="",$E50="",$F50="",$G50="",$H50=""),NOT($S50="")),"",ROUND($C50*($D50+$E50)/60,4))</f>
        <v/>
      </c>
      <c r="J50" s="18" t="str">
        <f aca="false">IF(OR(AND($A50="",$B50="",$C50="",$D50="",$E50="",$F50="",$G50="",$H50=""),NOT($S50="")),"",ROUND(ROUND($C50*($D50+$E50)/60*$B$5,9),2))</f>
        <v/>
      </c>
      <c r="K50" s="18" t="str">
        <f aca="false">IF(OR(AND($A50="",$B50="",$C50="",$D50="",$E50="",$F50="",$G50="",$H50=""),NOT($S50="")),"",ROUND(ROUND($C50*$F50*$B$6,9),2))</f>
        <v/>
      </c>
      <c r="L50" s="18" t="str">
        <f aca="false">IF(OR(AND($A50="",$B50="",$C50="",$D50="",$E50="",$F50="",$G50="",$H50=""),NOT($S50="")),"",ROUND(ROUND($C50*$G50,9),2))</f>
        <v/>
      </c>
      <c r="M50" s="19" t="str">
        <f aca="false">IF(OR(AND($A50="",$B50="",$C50="",$D50="",$E50="",$F50="",$G50="",$H50=""),NOT($S50="")),"",ROUND($J50+$K50+$L50+$H50,2))</f>
        <v/>
      </c>
      <c r="N50" s="19" t="str">
        <f aca="false">IF(OR(AND($A50="",$B50="",$C50="",$D50="",$E50="",$F50="",$G50="",$H50=""),NOT($S50="")),"",ROUND($B50-$M50,2))</f>
        <v/>
      </c>
      <c r="O50" s="20" t="str">
        <f aca="false">IF(OR(AND($A50="",$B50="",$C50="",$D50="",$E50="",$F50="",$G50="",$H50=""),NOT($S50="")),"",IF($B50=0,"n/a",INT(ROUND($N50/$B50*10000,6))/10000))</f>
        <v/>
      </c>
      <c r="P50" s="18" t="str">
        <f aca="false">IF(OR(AND($A50="",$B50="",$C50="",$D50="",$E50="",$F50="",$G50="",$H50=""),NOT($S50="")),"",ROUNDUP(ROUND($M50*10000/(10000-TargetH),9),2))</f>
        <v/>
      </c>
      <c r="Q50" s="18" t="str">
        <f aca="false">IF(OR(AND($A50="",$B50="",$C50="",$D50="",$E50="",$F50="",$G50="",$H50=""),NOT($S50="")),"",MAX(0,ROUND($P50-$B50,2)))</f>
        <v/>
      </c>
      <c r="R50" s="21" t="str">
        <f aca="false">IF(AND($A50="",$B50="",$C50="",$D50="",$E50="",$F50="",$G50="",$H50=""),"",IF(NOT($S50=""),"Check inputs",IF($B50=0,"No fee entered",IF($N50&lt;0,"Losing money on entered costs",IF(ROUND($N50*100,0)*10000&lt;TargetH*ROUND($B50*100,0),"Below your target","Meets your target")))))</f>
        <v/>
      </c>
      <c r="S50" s="22" t="str">
        <f aca="false">IF(AND($A50="",$B50="",$C50="",$D50="",$E50="",$F50="",$G50="",$H50=""),"",TRIM(IF($A50="","Customer/site label is missing. ","")&amp;IF($B50="","Monthly fee is missing. ",IF(NOT(ISNUMBER($B50)),"Monthly fee must be a number. ",IF($B50&lt;0,"Monthly fee can't be negative. ",IF(ROUND($B50,2)&lt;&gt;$B50,"Monthly fee: use up to 2 decimal places. ",IF($B50&gt;99999.99,"Monthly fee: use 99,999.99 or less. ","")))))&amp;IF($C50="","Visits per month is missing. ",IF(NOT(ISNUMBER($C50)),"Visits per month must be a number. ",IF($C50&lt;0,"Visits per month can't be negative. ",IF(ROUND($C50,3)&lt;&gt;$C50,"Visits per month: use up to 3 decimal places. ",IF($C50=0,"Visits per month must be more than 0. ",IF($C50&gt;31,"Visits per month: use 31 or less. ",""))))))&amp;IF($D50="","Service minutes per visit is missing. ",IF(NOT(ISNUMBER($D50)),"Service minutes per visit must be a number. ",IF($D50&lt;0,"Service minutes per visit can't be negative. ",IF(ROUND($D50,2)&lt;&gt;$D50,"Service minutes per visit: use up to 2 decimal places. ",IF($D50=0,"Service minutes per visit must be more than 0. ",IF($D50&gt;600,"Service minutes per visit: use 600 or less. ",""))))))&amp;IF($E50="","Drive minutes per visit is missing. ",IF(NOT(ISNUMBER($E50)),"Drive minutes per visit must be a number. ",IF($E50&lt;0,"Drive minutes per visit can't be negative. ",IF(ROUND($E50,2)&lt;&gt;$E50,"Drive minutes per visit: use up to 2 decimal places. ",IF($E50&gt;600,"Drive minutes per visit: use 600 or less. ","")))))&amp;IF($F50="","Drive miles per visit is missing. ",IF(NOT(ISNUMBER($F50)),"Drive miles per visit must be a number. ",IF($F50&lt;0,"Drive miles per visit can't be negative. ",IF(ROUND($F50,2)&lt;&gt;$F50,"Drive miles per visit: use up to 2 decimal places. ",IF($F50&gt;1000,"Drive miles per visit: use 1,000 or less. ","")))))&amp;IF($G50="","Chemicals per visit is missing. ",IF(NOT(ISNUMBER($G50)),"Chemicals per visit must be a number. ",IF($G50&lt;0,"Chemicals per visit can't be negative. ",IF(ROUND($G50,2)&lt;&gt;$G50,"Chemicals per visit: use up to 2 decimal places. ",IF($G50&gt;9999.99,"Chemicals per visit: use 9,999.99 or less. ","")))))&amp;IF($H50="","Other monthly costs is missing. ",IF(NOT(ISNUMBER($H50)),"Other monthly costs must be a number. ",IF($H50&lt;0,"Other monthly costs can't be negative. ",IF(ROUND($H50,2)&lt;&gt;$H50,"Other monthly costs: use up to 2 decimal places. ",IF($H50&gt;99999.99,"Other monthly costs: use 99,999.99 or less. ","")))))&amp;IF(SettingsOK,"","Settings incomplete.")))</f>
        <v/>
      </c>
      <c r="T50" s="23" t="str">
        <f aca="false">IF(AND($A50="",$B50="",$C50="",$D50="",$E50="",$F50="",$G50="",$H50=""),"",IF(Review!$B$5="Check inputs",IF($R50="Check inputs",ROW(),""),IF($R50="Check inputs",IF(Review!$B$5="All accounts",-2000000000000000+ROW(),""),IF(AND(Review!$B$5="Needs review",$R50="Meets your target"),"",IF($R50="No fee entered",-1000000000000000+ROW(),$N50/$B50+ROW()/1000000000)))))</f>
        <v/>
      </c>
    </row>
    <row r="51" customFormat="false" ht="15" hidden="false" customHeight="false" outlineLevel="0" collapsed="false">
      <c r="A51" s="14"/>
      <c r="B51" s="15"/>
      <c r="C51" s="16"/>
      <c r="D51" s="14"/>
      <c r="E51" s="14"/>
      <c r="F51" s="14"/>
      <c r="G51" s="15"/>
      <c r="H51" s="15"/>
      <c r="I51" s="17" t="str">
        <f aca="false">IF(OR(AND($A51="",$B51="",$C51="",$D51="",$E51="",$F51="",$G51="",$H51=""),NOT($S51="")),"",ROUND($C51*($D51+$E51)/60,4))</f>
        <v/>
      </c>
      <c r="J51" s="18" t="str">
        <f aca="false">IF(OR(AND($A51="",$B51="",$C51="",$D51="",$E51="",$F51="",$G51="",$H51=""),NOT($S51="")),"",ROUND(ROUND($C51*($D51+$E51)/60*$B$5,9),2))</f>
        <v/>
      </c>
      <c r="K51" s="18" t="str">
        <f aca="false">IF(OR(AND($A51="",$B51="",$C51="",$D51="",$E51="",$F51="",$G51="",$H51=""),NOT($S51="")),"",ROUND(ROUND($C51*$F51*$B$6,9),2))</f>
        <v/>
      </c>
      <c r="L51" s="18" t="str">
        <f aca="false">IF(OR(AND($A51="",$B51="",$C51="",$D51="",$E51="",$F51="",$G51="",$H51=""),NOT($S51="")),"",ROUND(ROUND($C51*$G51,9),2))</f>
        <v/>
      </c>
      <c r="M51" s="19" t="str">
        <f aca="false">IF(OR(AND($A51="",$B51="",$C51="",$D51="",$E51="",$F51="",$G51="",$H51=""),NOT($S51="")),"",ROUND($J51+$K51+$L51+$H51,2))</f>
        <v/>
      </c>
      <c r="N51" s="19" t="str">
        <f aca="false">IF(OR(AND($A51="",$B51="",$C51="",$D51="",$E51="",$F51="",$G51="",$H51=""),NOT($S51="")),"",ROUND($B51-$M51,2))</f>
        <v/>
      </c>
      <c r="O51" s="20" t="str">
        <f aca="false">IF(OR(AND($A51="",$B51="",$C51="",$D51="",$E51="",$F51="",$G51="",$H51=""),NOT($S51="")),"",IF($B51=0,"n/a",INT(ROUND($N51/$B51*10000,6))/10000))</f>
        <v/>
      </c>
      <c r="P51" s="18" t="str">
        <f aca="false">IF(OR(AND($A51="",$B51="",$C51="",$D51="",$E51="",$F51="",$G51="",$H51=""),NOT($S51="")),"",ROUNDUP(ROUND($M51*10000/(10000-TargetH),9),2))</f>
        <v/>
      </c>
      <c r="Q51" s="18" t="str">
        <f aca="false">IF(OR(AND($A51="",$B51="",$C51="",$D51="",$E51="",$F51="",$G51="",$H51=""),NOT($S51="")),"",MAX(0,ROUND($P51-$B51,2)))</f>
        <v/>
      </c>
      <c r="R51" s="21" t="str">
        <f aca="false">IF(AND($A51="",$B51="",$C51="",$D51="",$E51="",$F51="",$G51="",$H51=""),"",IF(NOT($S51=""),"Check inputs",IF($B51=0,"No fee entered",IF($N51&lt;0,"Losing money on entered costs",IF(ROUND($N51*100,0)*10000&lt;TargetH*ROUND($B51*100,0),"Below your target","Meets your target")))))</f>
        <v/>
      </c>
      <c r="S51" s="22" t="str">
        <f aca="false">IF(AND($A51="",$B51="",$C51="",$D51="",$E51="",$F51="",$G51="",$H51=""),"",TRIM(IF($A51="","Customer/site label is missing. ","")&amp;IF($B51="","Monthly fee is missing. ",IF(NOT(ISNUMBER($B51)),"Monthly fee must be a number. ",IF($B51&lt;0,"Monthly fee can't be negative. ",IF(ROUND($B51,2)&lt;&gt;$B51,"Monthly fee: use up to 2 decimal places. ",IF($B51&gt;99999.99,"Monthly fee: use 99,999.99 or less. ","")))))&amp;IF($C51="","Visits per month is missing. ",IF(NOT(ISNUMBER($C51)),"Visits per month must be a number. ",IF($C51&lt;0,"Visits per month can't be negative. ",IF(ROUND($C51,3)&lt;&gt;$C51,"Visits per month: use up to 3 decimal places. ",IF($C51=0,"Visits per month must be more than 0. ",IF($C51&gt;31,"Visits per month: use 31 or less. ",""))))))&amp;IF($D51="","Service minutes per visit is missing. ",IF(NOT(ISNUMBER($D51)),"Service minutes per visit must be a number. ",IF($D51&lt;0,"Service minutes per visit can't be negative. ",IF(ROUND($D51,2)&lt;&gt;$D51,"Service minutes per visit: use up to 2 decimal places. ",IF($D51=0,"Service minutes per visit must be more than 0. ",IF($D51&gt;600,"Service minutes per visit: use 600 or less. ",""))))))&amp;IF($E51="","Drive minutes per visit is missing. ",IF(NOT(ISNUMBER($E51)),"Drive minutes per visit must be a number. ",IF($E51&lt;0,"Drive minutes per visit can't be negative. ",IF(ROUND($E51,2)&lt;&gt;$E51,"Drive minutes per visit: use up to 2 decimal places. ",IF($E51&gt;600,"Drive minutes per visit: use 600 or less. ","")))))&amp;IF($F51="","Drive miles per visit is missing. ",IF(NOT(ISNUMBER($F51)),"Drive miles per visit must be a number. ",IF($F51&lt;0,"Drive miles per visit can't be negative. ",IF(ROUND($F51,2)&lt;&gt;$F51,"Drive miles per visit: use up to 2 decimal places. ",IF($F51&gt;1000,"Drive miles per visit: use 1,000 or less. ","")))))&amp;IF($G51="","Chemicals per visit is missing. ",IF(NOT(ISNUMBER($G51)),"Chemicals per visit must be a number. ",IF($G51&lt;0,"Chemicals per visit can't be negative. ",IF(ROUND($G51,2)&lt;&gt;$G51,"Chemicals per visit: use up to 2 decimal places. ",IF($G51&gt;9999.99,"Chemicals per visit: use 9,999.99 or less. ","")))))&amp;IF($H51="","Other monthly costs is missing. ",IF(NOT(ISNUMBER($H51)),"Other monthly costs must be a number. ",IF($H51&lt;0,"Other monthly costs can't be negative. ",IF(ROUND($H51,2)&lt;&gt;$H51,"Other monthly costs: use up to 2 decimal places. ",IF($H51&gt;99999.99,"Other monthly costs: use 99,999.99 or less. ","")))))&amp;IF(SettingsOK,"","Settings incomplete.")))</f>
        <v/>
      </c>
      <c r="T51" s="23" t="str">
        <f aca="false">IF(AND($A51="",$B51="",$C51="",$D51="",$E51="",$F51="",$G51="",$H51=""),"",IF(Review!$B$5="Check inputs",IF($R51="Check inputs",ROW(),""),IF($R51="Check inputs",IF(Review!$B$5="All accounts",-2000000000000000+ROW(),""),IF(AND(Review!$B$5="Needs review",$R51="Meets your target"),"",IF($R51="No fee entered",-1000000000000000+ROW(),$N51/$B51+ROW()/1000000000)))))</f>
        <v/>
      </c>
    </row>
    <row r="52" customFormat="false" ht="15" hidden="false" customHeight="false" outlineLevel="0" collapsed="false">
      <c r="A52" s="14"/>
      <c r="B52" s="15"/>
      <c r="C52" s="16"/>
      <c r="D52" s="14"/>
      <c r="E52" s="14"/>
      <c r="F52" s="14"/>
      <c r="G52" s="15"/>
      <c r="H52" s="15"/>
      <c r="I52" s="17" t="str">
        <f aca="false">IF(OR(AND($A52="",$B52="",$C52="",$D52="",$E52="",$F52="",$G52="",$H52=""),NOT($S52="")),"",ROUND($C52*($D52+$E52)/60,4))</f>
        <v/>
      </c>
      <c r="J52" s="18" t="str">
        <f aca="false">IF(OR(AND($A52="",$B52="",$C52="",$D52="",$E52="",$F52="",$G52="",$H52=""),NOT($S52="")),"",ROUND(ROUND($C52*($D52+$E52)/60*$B$5,9),2))</f>
        <v/>
      </c>
      <c r="K52" s="18" t="str">
        <f aca="false">IF(OR(AND($A52="",$B52="",$C52="",$D52="",$E52="",$F52="",$G52="",$H52=""),NOT($S52="")),"",ROUND(ROUND($C52*$F52*$B$6,9),2))</f>
        <v/>
      </c>
      <c r="L52" s="18" t="str">
        <f aca="false">IF(OR(AND($A52="",$B52="",$C52="",$D52="",$E52="",$F52="",$G52="",$H52=""),NOT($S52="")),"",ROUND(ROUND($C52*$G52,9),2))</f>
        <v/>
      </c>
      <c r="M52" s="19" t="str">
        <f aca="false">IF(OR(AND($A52="",$B52="",$C52="",$D52="",$E52="",$F52="",$G52="",$H52=""),NOT($S52="")),"",ROUND($J52+$K52+$L52+$H52,2))</f>
        <v/>
      </c>
      <c r="N52" s="19" t="str">
        <f aca="false">IF(OR(AND($A52="",$B52="",$C52="",$D52="",$E52="",$F52="",$G52="",$H52=""),NOT($S52="")),"",ROUND($B52-$M52,2))</f>
        <v/>
      </c>
      <c r="O52" s="20" t="str">
        <f aca="false">IF(OR(AND($A52="",$B52="",$C52="",$D52="",$E52="",$F52="",$G52="",$H52=""),NOT($S52="")),"",IF($B52=0,"n/a",INT(ROUND($N52/$B52*10000,6))/10000))</f>
        <v/>
      </c>
      <c r="P52" s="18" t="str">
        <f aca="false">IF(OR(AND($A52="",$B52="",$C52="",$D52="",$E52="",$F52="",$G52="",$H52=""),NOT($S52="")),"",ROUNDUP(ROUND($M52*10000/(10000-TargetH),9),2))</f>
        <v/>
      </c>
      <c r="Q52" s="18" t="str">
        <f aca="false">IF(OR(AND($A52="",$B52="",$C52="",$D52="",$E52="",$F52="",$G52="",$H52=""),NOT($S52="")),"",MAX(0,ROUND($P52-$B52,2)))</f>
        <v/>
      </c>
      <c r="R52" s="21" t="str">
        <f aca="false">IF(AND($A52="",$B52="",$C52="",$D52="",$E52="",$F52="",$G52="",$H52=""),"",IF(NOT($S52=""),"Check inputs",IF($B52=0,"No fee entered",IF($N52&lt;0,"Losing money on entered costs",IF(ROUND($N52*100,0)*10000&lt;TargetH*ROUND($B52*100,0),"Below your target","Meets your target")))))</f>
        <v/>
      </c>
      <c r="S52" s="22" t="str">
        <f aca="false">IF(AND($A52="",$B52="",$C52="",$D52="",$E52="",$F52="",$G52="",$H52=""),"",TRIM(IF($A52="","Customer/site label is missing. ","")&amp;IF($B52="","Monthly fee is missing. ",IF(NOT(ISNUMBER($B52)),"Monthly fee must be a number. ",IF($B52&lt;0,"Monthly fee can't be negative. ",IF(ROUND($B52,2)&lt;&gt;$B52,"Monthly fee: use up to 2 decimal places. ",IF($B52&gt;99999.99,"Monthly fee: use 99,999.99 or less. ","")))))&amp;IF($C52="","Visits per month is missing. ",IF(NOT(ISNUMBER($C52)),"Visits per month must be a number. ",IF($C52&lt;0,"Visits per month can't be negative. ",IF(ROUND($C52,3)&lt;&gt;$C52,"Visits per month: use up to 3 decimal places. ",IF($C52=0,"Visits per month must be more than 0. ",IF($C52&gt;31,"Visits per month: use 31 or less. ",""))))))&amp;IF($D52="","Service minutes per visit is missing. ",IF(NOT(ISNUMBER($D52)),"Service minutes per visit must be a number. ",IF($D52&lt;0,"Service minutes per visit can't be negative. ",IF(ROUND($D52,2)&lt;&gt;$D52,"Service minutes per visit: use up to 2 decimal places. ",IF($D52=0,"Service minutes per visit must be more than 0. ",IF($D52&gt;600,"Service minutes per visit: use 600 or less. ",""))))))&amp;IF($E52="","Drive minutes per visit is missing. ",IF(NOT(ISNUMBER($E52)),"Drive minutes per visit must be a number. ",IF($E52&lt;0,"Drive minutes per visit can't be negative. ",IF(ROUND($E52,2)&lt;&gt;$E52,"Drive minutes per visit: use up to 2 decimal places. ",IF($E52&gt;600,"Drive minutes per visit: use 600 or less. ","")))))&amp;IF($F52="","Drive miles per visit is missing. ",IF(NOT(ISNUMBER($F52)),"Drive miles per visit must be a number. ",IF($F52&lt;0,"Drive miles per visit can't be negative. ",IF(ROUND($F52,2)&lt;&gt;$F52,"Drive miles per visit: use up to 2 decimal places. ",IF($F52&gt;1000,"Drive miles per visit: use 1,000 or less. ","")))))&amp;IF($G52="","Chemicals per visit is missing. ",IF(NOT(ISNUMBER($G52)),"Chemicals per visit must be a number. ",IF($G52&lt;0,"Chemicals per visit can't be negative. ",IF(ROUND($G52,2)&lt;&gt;$G52,"Chemicals per visit: use up to 2 decimal places. ",IF($G52&gt;9999.99,"Chemicals per visit: use 9,999.99 or less. ","")))))&amp;IF($H52="","Other monthly costs is missing. ",IF(NOT(ISNUMBER($H52)),"Other monthly costs must be a number. ",IF($H52&lt;0,"Other monthly costs can't be negative. ",IF(ROUND($H52,2)&lt;&gt;$H52,"Other monthly costs: use up to 2 decimal places. ",IF($H52&gt;99999.99,"Other monthly costs: use 99,999.99 or less. ","")))))&amp;IF(SettingsOK,"","Settings incomplete.")))</f>
        <v/>
      </c>
      <c r="T52" s="23" t="str">
        <f aca="false">IF(AND($A52="",$B52="",$C52="",$D52="",$E52="",$F52="",$G52="",$H52=""),"",IF(Review!$B$5="Check inputs",IF($R52="Check inputs",ROW(),""),IF($R52="Check inputs",IF(Review!$B$5="All accounts",-2000000000000000+ROW(),""),IF(AND(Review!$B$5="Needs review",$R52="Meets your target"),"",IF($R52="No fee entered",-1000000000000000+ROW(),$N52/$B52+ROW()/1000000000)))))</f>
        <v/>
      </c>
    </row>
    <row r="53" customFormat="false" ht="15" hidden="false" customHeight="false" outlineLevel="0" collapsed="false">
      <c r="A53" s="14"/>
      <c r="B53" s="15"/>
      <c r="C53" s="16"/>
      <c r="D53" s="14"/>
      <c r="E53" s="14"/>
      <c r="F53" s="14"/>
      <c r="G53" s="15"/>
      <c r="H53" s="15"/>
      <c r="I53" s="17" t="str">
        <f aca="false">IF(OR(AND($A53="",$B53="",$C53="",$D53="",$E53="",$F53="",$G53="",$H53=""),NOT($S53="")),"",ROUND($C53*($D53+$E53)/60,4))</f>
        <v/>
      </c>
      <c r="J53" s="18" t="str">
        <f aca="false">IF(OR(AND($A53="",$B53="",$C53="",$D53="",$E53="",$F53="",$G53="",$H53=""),NOT($S53="")),"",ROUND(ROUND($C53*($D53+$E53)/60*$B$5,9),2))</f>
        <v/>
      </c>
      <c r="K53" s="18" t="str">
        <f aca="false">IF(OR(AND($A53="",$B53="",$C53="",$D53="",$E53="",$F53="",$G53="",$H53=""),NOT($S53="")),"",ROUND(ROUND($C53*$F53*$B$6,9),2))</f>
        <v/>
      </c>
      <c r="L53" s="18" t="str">
        <f aca="false">IF(OR(AND($A53="",$B53="",$C53="",$D53="",$E53="",$F53="",$G53="",$H53=""),NOT($S53="")),"",ROUND(ROUND($C53*$G53,9),2))</f>
        <v/>
      </c>
      <c r="M53" s="19" t="str">
        <f aca="false">IF(OR(AND($A53="",$B53="",$C53="",$D53="",$E53="",$F53="",$G53="",$H53=""),NOT($S53="")),"",ROUND($J53+$K53+$L53+$H53,2))</f>
        <v/>
      </c>
      <c r="N53" s="19" t="str">
        <f aca="false">IF(OR(AND($A53="",$B53="",$C53="",$D53="",$E53="",$F53="",$G53="",$H53=""),NOT($S53="")),"",ROUND($B53-$M53,2))</f>
        <v/>
      </c>
      <c r="O53" s="20" t="str">
        <f aca="false">IF(OR(AND($A53="",$B53="",$C53="",$D53="",$E53="",$F53="",$G53="",$H53=""),NOT($S53="")),"",IF($B53=0,"n/a",INT(ROUND($N53/$B53*10000,6))/10000))</f>
        <v/>
      </c>
      <c r="P53" s="18" t="str">
        <f aca="false">IF(OR(AND($A53="",$B53="",$C53="",$D53="",$E53="",$F53="",$G53="",$H53=""),NOT($S53="")),"",ROUNDUP(ROUND($M53*10000/(10000-TargetH),9),2))</f>
        <v/>
      </c>
      <c r="Q53" s="18" t="str">
        <f aca="false">IF(OR(AND($A53="",$B53="",$C53="",$D53="",$E53="",$F53="",$G53="",$H53=""),NOT($S53="")),"",MAX(0,ROUND($P53-$B53,2)))</f>
        <v/>
      </c>
      <c r="R53" s="21" t="str">
        <f aca="false">IF(AND($A53="",$B53="",$C53="",$D53="",$E53="",$F53="",$G53="",$H53=""),"",IF(NOT($S53=""),"Check inputs",IF($B53=0,"No fee entered",IF($N53&lt;0,"Losing money on entered costs",IF(ROUND($N53*100,0)*10000&lt;TargetH*ROUND($B53*100,0),"Below your target","Meets your target")))))</f>
        <v/>
      </c>
      <c r="S53" s="22" t="str">
        <f aca="false">IF(AND($A53="",$B53="",$C53="",$D53="",$E53="",$F53="",$G53="",$H53=""),"",TRIM(IF($A53="","Customer/site label is missing. ","")&amp;IF($B53="","Monthly fee is missing. ",IF(NOT(ISNUMBER($B53)),"Monthly fee must be a number. ",IF($B53&lt;0,"Monthly fee can't be negative. ",IF(ROUND($B53,2)&lt;&gt;$B53,"Monthly fee: use up to 2 decimal places. ",IF($B53&gt;99999.99,"Monthly fee: use 99,999.99 or less. ","")))))&amp;IF($C53="","Visits per month is missing. ",IF(NOT(ISNUMBER($C53)),"Visits per month must be a number. ",IF($C53&lt;0,"Visits per month can't be negative. ",IF(ROUND($C53,3)&lt;&gt;$C53,"Visits per month: use up to 3 decimal places. ",IF($C53=0,"Visits per month must be more than 0. ",IF($C53&gt;31,"Visits per month: use 31 or less. ",""))))))&amp;IF($D53="","Service minutes per visit is missing. ",IF(NOT(ISNUMBER($D53)),"Service minutes per visit must be a number. ",IF($D53&lt;0,"Service minutes per visit can't be negative. ",IF(ROUND($D53,2)&lt;&gt;$D53,"Service minutes per visit: use up to 2 decimal places. ",IF($D53=0,"Service minutes per visit must be more than 0. ",IF($D53&gt;600,"Service minutes per visit: use 600 or less. ",""))))))&amp;IF($E53="","Drive minutes per visit is missing. ",IF(NOT(ISNUMBER($E53)),"Drive minutes per visit must be a number. ",IF($E53&lt;0,"Drive minutes per visit can't be negative. ",IF(ROUND($E53,2)&lt;&gt;$E53,"Drive minutes per visit: use up to 2 decimal places. ",IF($E53&gt;600,"Drive minutes per visit: use 600 or less. ","")))))&amp;IF($F53="","Drive miles per visit is missing. ",IF(NOT(ISNUMBER($F53)),"Drive miles per visit must be a number. ",IF($F53&lt;0,"Drive miles per visit can't be negative. ",IF(ROUND($F53,2)&lt;&gt;$F53,"Drive miles per visit: use up to 2 decimal places. ",IF($F53&gt;1000,"Drive miles per visit: use 1,000 or less. ","")))))&amp;IF($G53="","Chemicals per visit is missing. ",IF(NOT(ISNUMBER($G53)),"Chemicals per visit must be a number. ",IF($G53&lt;0,"Chemicals per visit can't be negative. ",IF(ROUND($G53,2)&lt;&gt;$G53,"Chemicals per visit: use up to 2 decimal places. ",IF($G53&gt;9999.99,"Chemicals per visit: use 9,999.99 or less. ","")))))&amp;IF($H53="","Other monthly costs is missing. ",IF(NOT(ISNUMBER($H53)),"Other monthly costs must be a number. ",IF($H53&lt;0,"Other monthly costs can't be negative. ",IF(ROUND($H53,2)&lt;&gt;$H53,"Other monthly costs: use up to 2 decimal places. ",IF($H53&gt;99999.99,"Other monthly costs: use 99,999.99 or less. ","")))))&amp;IF(SettingsOK,"","Settings incomplete.")))</f>
        <v/>
      </c>
      <c r="T53" s="23" t="str">
        <f aca="false">IF(AND($A53="",$B53="",$C53="",$D53="",$E53="",$F53="",$G53="",$H53=""),"",IF(Review!$B$5="Check inputs",IF($R53="Check inputs",ROW(),""),IF($R53="Check inputs",IF(Review!$B$5="All accounts",-2000000000000000+ROW(),""),IF(AND(Review!$B$5="Needs review",$R53="Meets your target"),"",IF($R53="No fee entered",-1000000000000000+ROW(),$N53/$B53+ROW()/1000000000)))))</f>
        <v/>
      </c>
    </row>
    <row r="54" customFormat="false" ht="15" hidden="false" customHeight="false" outlineLevel="0" collapsed="false">
      <c r="A54" s="14"/>
      <c r="B54" s="15"/>
      <c r="C54" s="16"/>
      <c r="D54" s="14"/>
      <c r="E54" s="14"/>
      <c r="F54" s="14"/>
      <c r="G54" s="15"/>
      <c r="H54" s="15"/>
      <c r="I54" s="17" t="str">
        <f aca="false">IF(OR(AND($A54="",$B54="",$C54="",$D54="",$E54="",$F54="",$G54="",$H54=""),NOT($S54="")),"",ROUND($C54*($D54+$E54)/60,4))</f>
        <v/>
      </c>
      <c r="J54" s="18" t="str">
        <f aca="false">IF(OR(AND($A54="",$B54="",$C54="",$D54="",$E54="",$F54="",$G54="",$H54=""),NOT($S54="")),"",ROUND(ROUND($C54*($D54+$E54)/60*$B$5,9),2))</f>
        <v/>
      </c>
      <c r="K54" s="18" t="str">
        <f aca="false">IF(OR(AND($A54="",$B54="",$C54="",$D54="",$E54="",$F54="",$G54="",$H54=""),NOT($S54="")),"",ROUND(ROUND($C54*$F54*$B$6,9),2))</f>
        <v/>
      </c>
      <c r="L54" s="18" t="str">
        <f aca="false">IF(OR(AND($A54="",$B54="",$C54="",$D54="",$E54="",$F54="",$G54="",$H54=""),NOT($S54="")),"",ROUND(ROUND($C54*$G54,9),2))</f>
        <v/>
      </c>
      <c r="M54" s="19" t="str">
        <f aca="false">IF(OR(AND($A54="",$B54="",$C54="",$D54="",$E54="",$F54="",$G54="",$H54=""),NOT($S54="")),"",ROUND($J54+$K54+$L54+$H54,2))</f>
        <v/>
      </c>
      <c r="N54" s="19" t="str">
        <f aca="false">IF(OR(AND($A54="",$B54="",$C54="",$D54="",$E54="",$F54="",$G54="",$H54=""),NOT($S54="")),"",ROUND($B54-$M54,2))</f>
        <v/>
      </c>
      <c r="O54" s="20" t="str">
        <f aca="false">IF(OR(AND($A54="",$B54="",$C54="",$D54="",$E54="",$F54="",$G54="",$H54=""),NOT($S54="")),"",IF($B54=0,"n/a",INT(ROUND($N54/$B54*10000,6))/10000))</f>
        <v/>
      </c>
      <c r="P54" s="18" t="str">
        <f aca="false">IF(OR(AND($A54="",$B54="",$C54="",$D54="",$E54="",$F54="",$G54="",$H54=""),NOT($S54="")),"",ROUNDUP(ROUND($M54*10000/(10000-TargetH),9),2))</f>
        <v/>
      </c>
      <c r="Q54" s="18" t="str">
        <f aca="false">IF(OR(AND($A54="",$B54="",$C54="",$D54="",$E54="",$F54="",$G54="",$H54=""),NOT($S54="")),"",MAX(0,ROUND($P54-$B54,2)))</f>
        <v/>
      </c>
      <c r="R54" s="21" t="str">
        <f aca="false">IF(AND($A54="",$B54="",$C54="",$D54="",$E54="",$F54="",$G54="",$H54=""),"",IF(NOT($S54=""),"Check inputs",IF($B54=0,"No fee entered",IF($N54&lt;0,"Losing money on entered costs",IF(ROUND($N54*100,0)*10000&lt;TargetH*ROUND($B54*100,0),"Below your target","Meets your target")))))</f>
        <v/>
      </c>
      <c r="S54" s="22" t="str">
        <f aca="false">IF(AND($A54="",$B54="",$C54="",$D54="",$E54="",$F54="",$G54="",$H54=""),"",TRIM(IF($A54="","Customer/site label is missing. ","")&amp;IF($B54="","Monthly fee is missing. ",IF(NOT(ISNUMBER($B54)),"Monthly fee must be a number. ",IF($B54&lt;0,"Monthly fee can't be negative. ",IF(ROUND($B54,2)&lt;&gt;$B54,"Monthly fee: use up to 2 decimal places. ",IF($B54&gt;99999.99,"Monthly fee: use 99,999.99 or less. ","")))))&amp;IF($C54="","Visits per month is missing. ",IF(NOT(ISNUMBER($C54)),"Visits per month must be a number. ",IF($C54&lt;0,"Visits per month can't be negative. ",IF(ROUND($C54,3)&lt;&gt;$C54,"Visits per month: use up to 3 decimal places. ",IF($C54=0,"Visits per month must be more than 0. ",IF($C54&gt;31,"Visits per month: use 31 or less. ",""))))))&amp;IF($D54="","Service minutes per visit is missing. ",IF(NOT(ISNUMBER($D54)),"Service minutes per visit must be a number. ",IF($D54&lt;0,"Service minutes per visit can't be negative. ",IF(ROUND($D54,2)&lt;&gt;$D54,"Service minutes per visit: use up to 2 decimal places. ",IF($D54=0,"Service minutes per visit must be more than 0. ",IF($D54&gt;600,"Service minutes per visit: use 600 or less. ",""))))))&amp;IF($E54="","Drive minutes per visit is missing. ",IF(NOT(ISNUMBER($E54)),"Drive minutes per visit must be a number. ",IF($E54&lt;0,"Drive minutes per visit can't be negative. ",IF(ROUND($E54,2)&lt;&gt;$E54,"Drive minutes per visit: use up to 2 decimal places. ",IF($E54&gt;600,"Drive minutes per visit: use 600 or less. ","")))))&amp;IF($F54="","Drive miles per visit is missing. ",IF(NOT(ISNUMBER($F54)),"Drive miles per visit must be a number. ",IF($F54&lt;0,"Drive miles per visit can't be negative. ",IF(ROUND($F54,2)&lt;&gt;$F54,"Drive miles per visit: use up to 2 decimal places. ",IF($F54&gt;1000,"Drive miles per visit: use 1,000 or less. ","")))))&amp;IF($G54="","Chemicals per visit is missing. ",IF(NOT(ISNUMBER($G54)),"Chemicals per visit must be a number. ",IF($G54&lt;0,"Chemicals per visit can't be negative. ",IF(ROUND($G54,2)&lt;&gt;$G54,"Chemicals per visit: use up to 2 decimal places. ",IF($G54&gt;9999.99,"Chemicals per visit: use 9,999.99 or less. ","")))))&amp;IF($H54="","Other monthly costs is missing. ",IF(NOT(ISNUMBER($H54)),"Other monthly costs must be a number. ",IF($H54&lt;0,"Other monthly costs can't be negative. ",IF(ROUND($H54,2)&lt;&gt;$H54,"Other monthly costs: use up to 2 decimal places. ",IF($H54&gt;99999.99,"Other monthly costs: use 99,999.99 or less. ","")))))&amp;IF(SettingsOK,"","Settings incomplete.")))</f>
        <v/>
      </c>
      <c r="T54" s="23" t="str">
        <f aca="false">IF(AND($A54="",$B54="",$C54="",$D54="",$E54="",$F54="",$G54="",$H54=""),"",IF(Review!$B$5="Check inputs",IF($R54="Check inputs",ROW(),""),IF($R54="Check inputs",IF(Review!$B$5="All accounts",-2000000000000000+ROW(),""),IF(AND(Review!$B$5="Needs review",$R54="Meets your target"),"",IF($R54="No fee entered",-1000000000000000+ROW(),$N54/$B54+ROW()/1000000000)))))</f>
        <v/>
      </c>
    </row>
    <row r="55" customFormat="false" ht="15" hidden="false" customHeight="false" outlineLevel="0" collapsed="false">
      <c r="A55" s="14"/>
      <c r="B55" s="15"/>
      <c r="C55" s="16"/>
      <c r="D55" s="14"/>
      <c r="E55" s="14"/>
      <c r="F55" s="14"/>
      <c r="G55" s="15"/>
      <c r="H55" s="15"/>
      <c r="I55" s="17" t="str">
        <f aca="false">IF(OR(AND($A55="",$B55="",$C55="",$D55="",$E55="",$F55="",$G55="",$H55=""),NOT($S55="")),"",ROUND($C55*($D55+$E55)/60,4))</f>
        <v/>
      </c>
      <c r="J55" s="18" t="str">
        <f aca="false">IF(OR(AND($A55="",$B55="",$C55="",$D55="",$E55="",$F55="",$G55="",$H55=""),NOT($S55="")),"",ROUND(ROUND($C55*($D55+$E55)/60*$B$5,9),2))</f>
        <v/>
      </c>
      <c r="K55" s="18" t="str">
        <f aca="false">IF(OR(AND($A55="",$B55="",$C55="",$D55="",$E55="",$F55="",$G55="",$H55=""),NOT($S55="")),"",ROUND(ROUND($C55*$F55*$B$6,9),2))</f>
        <v/>
      </c>
      <c r="L55" s="18" t="str">
        <f aca="false">IF(OR(AND($A55="",$B55="",$C55="",$D55="",$E55="",$F55="",$G55="",$H55=""),NOT($S55="")),"",ROUND(ROUND($C55*$G55,9),2))</f>
        <v/>
      </c>
      <c r="M55" s="19" t="str">
        <f aca="false">IF(OR(AND($A55="",$B55="",$C55="",$D55="",$E55="",$F55="",$G55="",$H55=""),NOT($S55="")),"",ROUND($J55+$K55+$L55+$H55,2))</f>
        <v/>
      </c>
      <c r="N55" s="19" t="str">
        <f aca="false">IF(OR(AND($A55="",$B55="",$C55="",$D55="",$E55="",$F55="",$G55="",$H55=""),NOT($S55="")),"",ROUND($B55-$M55,2))</f>
        <v/>
      </c>
      <c r="O55" s="20" t="str">
        <f aca="false">IF(OR(AND($A55="",$B55="",$C55="",$D55="",$E55="",$F55="",$G55="",$H55=""),NOT($S55="")),"",IF($B55=0,"n/a",INT(ROUND($N55/$B55*10000,6))/10000))</f>
        <v/>
      </c>
      <c r="P55" s="18" t="str">
        <f aca="false">IF(OR(AND($A55="",$B55="",$C55="",$D55="",$E55="",$F55="",$G55="",$H55=""),NOT($S55="")),"",ROUNDUP(ROUND($M55*10000/(10000-TargetH),9),2))</f>
        <v/>
      </c>
      <c r="Q55" s="18" t="str">
        <f aca="false">IF(OR(AND($A55="",$B55="",$C55="",$D55="",$E55="",$F55="",$G55="",$H55=""),NOT($S55="")),"",MAX(0,ROUND($P55-$B55,2)))</f>
        <v/>
      </c>
      <c r="R55" s="21" t="str">
        <f aca="false">IF(AND($A55="",$B55="",$C55="",$D55="",$E55="",$F55="",$G55="",$H55=""),"",IF(NOT($S55=""),"Check inputs",IF($B55=0,"No fee entered",IF($N55&lt;0,"Losing money on entered costs",IF(ROUND($N55*100,0)*10000&lt;TargetH*ROUND($B55*100,0),"Below your target","Meets your target")))))</f>
        <v/>
      </c>
      <c r="S55" s="22" t="str">
        <f aca="false">IF(AND($A55="",$B55="",$C55="",$D55="",$E55="",$F55="",$G55="",$H55=""),"",TRIM(IF($A55="","Customer/site label is missing. ","")&amp;IF($B55="","Monthly fee is missing. ",IF(NOT(ISNUMBER($B55)),"Monthly fee must be a number. ",IF($B55&lt;0,"Monthly fee can't be negative. ",IF(ROUND($B55,2)&lt;&gt;$B55,"Monthly fee: use up to 2 decimal places. ",IF($B55&gt;99999.99,"Monthly fee: use 99,999.99 or less. ","")))))&amp;IF($C55="","Visits per month is missing. ",IF(NOT(ISNUMBER($C55)),"Visits per month must be a number. ",IF($C55&lt;0,"Visits per month can't be negative. ",IF(ROUND($C55,3)&lt;&gt;$C55,"Visits per month: use up to 3 decimal places. ",IF($C55=0,"Visits per month must be more than 0. ",IF($C55&gt;31,"Visits per month: use 31 or less. ",""))))))&amp;IF($D55="","Service minutes per visit is missing. ",IF(NOT(ISNUMBER($D55)),"Service minutes per visit must be a number. ",IF($D55&lt;0,"Service minutes per visit can't be negative. ",IF(ROUND($D55,2)&lt;&gt;$D55,"Service minutes per visit: use up to 2 decimal places. ",IF($D55=0,"Service minutes per visit must be more than 0. ",IF($D55&gt;600,"Service minutes per visit: use 600 or less. ",""))))))&amp;IF($E55="","Drive minutes per visit is missing. ",IF(NOT(ISNUMBER($E55)),"Drive minutes per visit must be a number. ",IF($E55&lt;0,"Drive minutes per visit can't be negative. ",IF(ROUND($E55,2)&lt;&gt;$E55,"Drive minutes per visit: use up to 2 decimal places. ",IF($E55&gt;600,"Drive minutes per visit: use 600 or less. ","")))))&amp;IF($F55="","Drive miles per visit is missing. ",IF(NOT(ISNUMBER($F55)),"Drive miles per visit must be a number. ",IF($F55&lt;0,"Drive miles per visit can't be negative. ",IF(ROUND($F55,2)&lt;&gt;$F55,"Drive miles per visit: use up to 2 decimal places. ",IF($F55&gt;1000,"Drive miles per visit: use 1,000 or less. ","")))))&amp;IF($G55="","Chemicals per visit is missing. ",IF(NOT(ISNUMBER($G55)),"Chemicals per visit must be a number. ",IF($G55&lt;0,"Chemicals per visit can't be negative. ",IF(ROUND($G55,2)&lt;&gt;$G55,"Chemicals per visit: use up to 2 decimal places. ",IF($G55&gt;9999.99,"Chemicals per visit: use 9,999.99 or less. ","")))))&amp;IF($H55="","Other monthly costs is missing. ",IF(NOT(ISNUMBER($H55)),"Other monthly costs must be a number. ",IF($H55&lt;0,"Other monthly costs can't be negative. ",IF(ROUND($H55,2)&lt;&gt;$H55,"Other monthly costs: use up to 2 decimal places. ",IF($H55&gt;99999.99,"Other monthly costs: use 99,999.99 or less. ","")))))&amp;IF(SettingsOK,"","Settings incomplete.")))</f>
        <v/>
      </c>
      <c r="T55" s="23" t="str">
        <f aca="false">IF(AND($A55="",$B55="",$C55="",$D55="",$E55="",$F55="",$G55="",$H55=""),"",IF(Review!$B$5="Check inputs",IF($R55="Check inputs",ROW(),""),IF($R55="Check inputs",IF(Review!$B$5="All accounts",-2000000000000000+ROW(),""),IF(AND(Review!$B$5="Needs review",$R55="Meets your target"),"",IF($R55="No fee entered",-1000000000000000+ROW(),$N55/$B55+ROW()/1000000000)))))</f>
        <v/>
      </c>
    </row>
    <row r="56" customFormat="false" ht="15" hidden="false" customHeight="false" outlineLevel="0" collapsed="false">
      <c r="A56" s="14"/>
      <c r="B56" s="15"/>
      <c r="C56" s="16"/>
      <c r="D56" s="14"/>
      <c r="E56" s="14"/>
      <c r="F56" s="14"/>
      <c r="G56" s="15"/>
      <c r="H56" s="15"/>
      <c r="I56" s="17" t="str">
        <f aca="false">IF(OR(AND($A56="",$B56="",$C56="",$D56="",$E56="",$F56="",$G56="",$H56=""),NOT($S56="")),"",ROUND($C56*($D56+$E56)/60,4))</f>
        <v/>
      </c>
      <c r="J56" s="18" t="str">
        <f aca="false">IF(OR(AND($A56="",$B56="",$C56="",$D56="",$E56="",$F56="",$G56="",$H56=""),NOT($S56="")),"",ROUND(ROUND($C56*($D56+$E56)/60*$B$5,9),2))</f>
        <v/>
      </c>
      <c r="K56" s="18" t="str">
        <f aca="false">IF(OR(AND($A56="",$B56="",$C56="",$D56="",$E56="",$F56="",$G56="",$H56=""),NOT($S56="")),"",ROUND(ROUND($C56*$F56*$B$6,9),2))</f>
        <v/>
      </c>
      <c r="L56" s="18" t="str">
        <f aca="false">IF(OR(AND($A56="",$B56="",$C56="",$D56="",$E56="",$F56="",$G56="",$H56=""),NOT($S56="")),"",ROUND(ROUND($C56*$G56,9),2))</f>
        <v/>
      </c>
      <c r="M56" s="19" t="str">
        <f aca="false">IF(OR(AND($A56="",$B56="",$C56="",$D56="",$E56="",$F56="",$G56="",$H56=""),NOT($S56="")),"",ROUND($J56+$K56+$L56+$H56,2))</f>
        <v/>
      </c>
      <c r="N56" s="19" t="str">
        <f aca="false">IF(OR(AND($A56="",$B56="",$C56="",$D56="",$E56="",$F56="",$G56="",$H56=""),NOT($S56="")),"",ROUND($B56-$M56,2))</f>
        <v/>
      </c>
      <c r="O56" s="20" t="str">
        <f aca="false">IF(OR(AND($A56="",$B56="",$C56="",$D56="",$E56="",$F56="",$G56="",$H56=""),NOT($S56="")),"",IF($B56=0,"n/a",INT(ROUND($N56/$B56*10000,6))/10000))</f>
        <v/>
      </c>
      <c r="P56" s="18" t="str">
        <f aca="false">IF(OR(AND($A56="",$B56="",$C56="",$D56="",$E56="",$F56="",$G56="",$H56=""),NOT($S56="")),"",ROUNDUP(ROUND($M56*10000/(10000-TargetH),9),2))</f>
        <v/>
      </c>
      <c r="Q56" s="18" t="str">
        <f aca="false">IF(OR(AND($A56="",$B56="",$C56="",$D56="",$E56="",$F56="",$G56="",$H56=""),NOT($S56="")),"",MAX(0,ROUND($P56-$B56,2)))</f>
        <v/>
      </c>
      <c r="R56" s="21" t="str">
        <f aca="false">IF(AND($A56="",$B56="",$C56="",$D56="",$E56="",$F56="",$G56="",$H56=""),"",IF(NOT($S56=""),"Check inputs",IF($B56=0,"No fee entered",IF($N56&lt;0,"Losing money on entered costs",IF(ROUND($N56*100,0)*10000&lt;TargetH*ROUND($B56*100,0),"Below your target","Meets your target")))))</f>
        <v/>
      </c>
      <c r="S56" s="22" t="str">
        <f aca="false">IF(AND($A56="",$B56="",$C56="",$D56="",$E56="",$F56="",$G56="",$H56=""),"",TRIM(IF($A56="","Customer/site label is missing. ","")&amp;IF($B56="","Monthly fee is missing. ",IF(NOT(ISNUMBER($B56)),"Monthly fee must be a number. ",IF($B56&lt;0,"Monthly fee can't be negative. ",IF(ROUND($B56,2)&lt;&gt;$B56,"Monthly fee: use up to 2 decimal places. ",IF($B56&gt;99999.99,"Monthly fee: use 99,999.99 or less. ","")))))&amp;IF($C56="","Visits per month is missing. ",IF(NOT(ISNUMBER($C56)),"Visits per month must be a number. ",IF($C56&lt;0,"Visits per month can't be negative. ",IF(ROUND($C56,3)&lt;&gt;$C56,"Visits per month: use up to 3 decimal places. ",IF($C56=0,"Visits per month must be more than 0. ",IF($C56&gt;31,"Visits per month: use 31 or less. ",""))))))&amp;IF($D56="","Service minutes per visit is missing. ",IF(NOT(ISNUMBER($D56)),"Service minutes per visit must be a number. ",IF($D56&lt;0,"Service minutes per visit can't be negative. ",IF(ROUND($D56,2)&lt;&gt;$D56,"Service minutes per visit: use up to 2 decimal places. ",IF($D56=0,"Service minutes per visit must be more than 0. ",IF($D56&gt;600,"Service minutes per visit: use 600 or less. ",""))))))&amp;IF($E56="","Drive minutes per visit is missing. ",IF(NOT(ISNUMBER($E56)),"Drive minutes per visit must be a number. ",IF($E56&lt;0,"Drive minutes per visit can't be negative. ",IF(ROUND($E56,2)&lt;&gt;$E56,"Drive minutes per visit: use up to 2 decimal places. ",IF($E56&gt;600,"Drive minutes per visit: use 600 or less. ","")))))&amp;IF($F56="","Drive miles per visit is missing. ",IF(NOT(ISNUMBER($F56)),"Drive miles per visit must be a number. ",IF($F56&lt;0,"Drive miles per visit can't be negative. ",IF(ROUND($F56,2)&lt;&gt;$F56,"Drive miles per visit: use up to 2 decimal places. ",IF($F56&gt;1000,"Drive miles per visit: use 1,000 or less. ","")))))&amp;IF($G56="","Chemicals per visit is missing. ",IF(NOT(ISNUMBER($G56)),"Chemicals per visit must be a number. ",IF($G56&lt;0,"Chemicals per visit can't be negative. ",IF(ROUND($G56,2)&lt;&gt;$G56,"Chemicals per visit: use up to 2 decimal places. ",IF($G56&gt;9999.99,"Chemicals per visit: use 9,999.99 or less. ","")))))&amp;IF($H56="","Other monthly costs is missing. ",IF(NOT(ISNUMBER($H56)),"Other monthly costs must be a number. ",IF($H56&lt;0,"Other monthly costs can't be negative. ",IF(ROUND($H56,2)&lt;&gt;$H56,"Other monthly costs: use up to 2 decimal places. ",IF($H56&gt;99999.99,"Other monthly costs: use 99,999.99 or less. ","")))))&amp;IF(SettingsOK,"","Settings incomplete.")))</f>
        <v/>
      </c>
      <c r="T56" s="23" t="str">
        <f aca="false">IF(AND($A56="",$B56="",$C56="",$D56="",$E56="",$F56="",$G56="",$H56=""),"",IF(Review!$B$5="Check inputs",IF($R56="Check inputs",ROW(),""),IF($R56="Check inputs",IF(Review!$B$5="All accounts",-2000000000000000+ROW(),""),IF(AND(Review!$B$5="Needs review",$R56="Meets your target"),"",IF($R56="No fee entered",-1000000000000000+ROW(),$N56/$B56+ROW()/1000000000)))))</f>
        <v/>
      </c>
    </row>
    <row r="57" customFormat="false" ht="15" hidden="false" customHeight="false" outlineLevel="0" collapsed="false">
      <c r="A57" s="14"/>
      <c r="B57" s="15"/>
      <c r="C57" s="16"/>
      <c r="D57" s="14"/>
      <c r="E57" s="14"/>
      <c r="F57" s="14"/>
      <c r="G57" s="15"/>
      <c r="H57" s="15"/>
      <c r="I57" s="17" t="str">
        <f aca="false">IF(OR(AND($A57="",$B57="",$C57="",$D57="",$E57="",$F57="",$G57="",$H57=""),NOT($S57="")),"",ROUND($C57*($D57+$E57)/60,4))</f>
        <v/>
      </c>
      <c r="J57" s="18" t="str">
        <f aca="false">IF(OR(AND($A57="",$B57="",$C57="",$D57="",$E57="",$F57="",$G57="",$H57=""),NOT($S57="")),"",ROUND(ROUND($C57*($D57+$E57)/60*$B$5,9),2))</f>
        <v/>
      </c>
      <c r="K57" s="18" t="str">
        <f aca="false">IF(OR(AND($A57="",$B57="",$C57="",$D57="",$E57="",$F57="",$G57="",$H57=""),NOT($S57="")),"",ROUND(ROUND($C57*$F57*$B$6,9),2))</f>
        <v/>
      </c>
      <c r="L57" s="18" t="str">
        <f aca="false">IF(OR(AND($A57="",$B57="",$C57="",$D57="",$E57="",$F57="",$G57="",$H57=""),NOT($S57="")),"",ROUND(ROUND($C57*$G57,9),2))</f>
        <v/>
      </c>
      <c r="M57" s="19" t="str">
        <f aca="false">IF(OR(AND($A57="",$B57="",$C57="",$D57="",$E57="",$F57="",$G57="",$H57=""),NOT($S57="")),"",ROUND($J57+$K57+$L57+$H57,2))</f>
        <v/>
      </c>
      <c r="N57" s="19" t="str">
        <f aca="false">IF(OR(AND($A57="",$B57="",$C57="",$D57="",$E57="",$F57="",$G57="",$H57=""),NOT($S57="")),"",ROUND($B57-$M57,2))</f>
        <v/>
      </c>
      <c r="O57" s="20" t="str">
        <f aca="false">IF(OR(AND($A57="",$B57="",$C57="",$D57="",$E57="",$F57="",$G57="",$H57=""),NOT($S57="")),"",IF($B57=0,"n/a",INT(ROUND($N57/$B57*10000,6))/10000))</f>
        <v/>
      </c>
      <c r="P57" s="18" t="str">
        <f aca="false">IF(OR(AND($A57="",$B57="",$C57="",$D57="",$E57="",$F57="",$G57="",$H57=""),NOT($S57="")),"",ROUNDUP(ROUND($M57*10000/(10000-TargetH),9),2))</f>
        <v/>
      </c>
      <c r="Q57" s="18" t="str">
        <f aca="false">IF(OR(AND($A57="",$B57="",$C57="",$D57="",$E57="",$F57="",$G57="",$H57=""),NOT($S57="")),"",MAX(0,ROUND($P57-$B57,2)))</f>
        <v/>
      </c>
      <c r="R57" s="21" t="str">
        <f aca="false">IF(AND($A57="",$B57="",$C57="",$D57="",$E57="",$F57="",$G57="",$H57=""),"",IF(NOT($S57=""),"Check inputs",IF($B57=0,"No fee entered",IF($N57&lt;0,"Losing money on entered costs",IF(ROUND($N57*100,0)*10000&lt;TargetH*ROUND($B57*100,0),"Below your target","Meets your target")))))</f>
        <v/>
      </c>
      <c r="S57" s="22" t="str">
        <f aca="false">IF(AND($A57="",$B57="",$C57="",$D57="",$E57="",$F57="",$G57="",$H57=""),"",TRIM(IF($A57="","Customer/site label is missing. ","")&amp;IF($B57="","Monthly fee is missing. ",IF(NOT(ISNUMBER($B57)),"Monthly fee must be a number. ",IF($B57&lt;0,"Monthly fee can't be negative. ",IF(ROUND($B57,2)&lt;&gt;$B57,"Monthly fee: use up to 2 decimal places. ",IF($B57&gt;99999.99,"Monthly fee: use 99,999.99 or less. ","")))))&amp;IF($C57="","Visits per month is missing. ",IF(NOT(ISNUMBER($C57)),"Visits per month must be a number. ",IF($C57&lt;0,"Visits per month can't be negative. ",IF(ROUND($C57,3)&lt;&gt;$C57,"Visits per month: use up to 3 decimal places. ",IF($C57=0,"Visits per month must be more than 0. ",IF($C57&gt;31,"Visits per month: use 31 or less. ",""))))))&amp;IF($D57="","Service minutes per visit is missing. ",IF(NOT(ISNUMBER($D57)),"Service minutes per visit must be a number. ",IF($D57&lt;0,"Service minutes per visit can't be negative. ",IF(ROUND($D57,2)&lt;&gt;$D57,"Service minutes per visit: use up to 2 decimal places. ",IF($D57=0,"Service minutes per visit must be more than 0. ",IF($D57&gt;600,"Service minutes per visit: use 600 or less. ",""))))))&amp;IF($E57="","Drive minutes per visit is missing. ",IF(NOT(ISNUMBER($E57)),"Drive minutes per visit must be a number. ",IF($E57&lt;0,"Drive minutes per visit can't be negative. ",IF(ROUND($E57,2)&lt;&gt;$E57,"Drive minutes per visit: use up to 2 decimal places. ",IF($E57&gt;600,"Drive minutes per visit: use 600 or less. ","")))))&amp;IF($F57="","Drive miles per visit is missing. ",IF(NOT(ISNUMBER($F57)),"Drive miles per visit must be a number. ",IF($F57&lt;0,"Drive miles per visit can't be negative. ",IF(ROUND($F57,2)&lt;&gt;$F57,"Drive miles per visit: use up to 2 decimal places. ",IF($F57&gt;1000,"Drive miles per visit: use 1,000 or less. ","")))))&amp;IF($G57="","Chemicals per visit is missing. ",IF(NOT(ISNUMBER($G57)),"Chemicals per visit must be a number. ",IF($G57&lt;0,"Chemicals per visit can't be negative. ",IF(ROUND($G57,2)&lt;&gt;$G57,"Chemicals per visit: use up to 2 decimal places. ",IF($G57&gt;9999.99,"Chemicals per visit: use 9,999.99 or less. ","")))))&amp;IF($H57="","Other monthly costs is missing. ",IF(NOT(ISNUMBER($H57)),"Other monthly costs must be a number. ",IF($H57&lt;0,"Other monthly costs can't be negative. ",IF(ROUND($H57,2)&lt;&gt;$H57,"Other monthly costs: use up to 2 decimal places. ",IF($H57&gt;99999.99,"Other monthly costs: use 99,999.99 or less. ","")))))&amp;IF(SettingsOK,"","Settings incomplete.")))</f>
        <v/>
      </c>
      <c r="T57" s="23" t="str">
        <f aca="false">IF(AND($A57="",$B57="",$C57="",$D57="",$E57="",$F57="",$G57="",$H57=""),"",IF(Review!$B$5="Check inputs",IF($R57="Check inputs",ROW(),""),IF($R57="Check inputs",IF(Review!$B$5="All accounts",-2000000000000000+ROW(),""),IF(AND(Review!$B$5="Needs review",$R57="Meets your target"),"",IF($R57="No fee entered",-1000000000000000+ROW(),$N57/$B57+ROW()/1000000000)))))</f>
        <v/>
      </c>
    </row>
    <row r="58" customFormat="false" ht="15" hidden="false" customHeight="false" outlineLevel="0" collapsed="false">
      <c r="A58" s="14"/>
      <c r="B58" s="15"/>
      <c r="C58" s="16"/>
      <c r="D58" s="14"/>
      <c r="E58" s="14"/>
      <c r="F58" s="14"/>
      <c r="G58" s="15"/>
      <c r="H58" s="15"/>
      <c r="I58" s="17" t="str">
        <f aca="false">IF(OR(AND($A58="",$B58="",$C58="",$D58="",$E58="",$F58="",$G58="",$H58=""),NOT($S58="")),"",ROUND($C58*($D58+$E58)/60,4))</f>
        <v/>
      </c>
      <c r="J58" s="18" t="str">
        <f aca="false">IF(OR(AND($A58="",$B58="",$C58="",$D58="",$E58="",$F58="",$G58="",$H58=""),NOT($S58="")),"",ROUND(ROUND($C58*($D58+$E58)/60*$B$5,9),2))</f>
        <v/>
      </c>
      <c r="K58" s="18" t="str">
        <f aca="false">IF(OR(AND($A58="",$B58="",$C58="",$D58="",$E58="",$F58="",$G58="",$H58=""),NOT($S58="")),"",ROUND(ROUND($C58*$F58*$B$6,9),2))</f>
        <v/>
      </c>
      <c r="L58" s="18" t="str">
        <f aca="false">IF(OR(AND($A58="",$B58="",$C58="",$D58="",$E58="",$F58="",$G58="",$H58=""),NOT($S58="")),"",ROUND(ROUND($C58*$G58,9),2))</f>
        <v/>
      </c>
      <c r="M58" s="19" t="str">
        <f aca="false">IF(OR(AND($A58="",$B58="",$C58="",$D58="",$E58="",$F58="",$G58="",$H58=""),NOT($S58="")),"",ROUND($J58+$K58+$L58+$H58,2))</f>
        <v/>
      </c>
      <c r="N58" s="19" t="str">
        <f aca="false">IF(OR(AND($A58="",$B58="",$C58="",$D58="",$E58="",$F58="",$G58="",$H58=""),NOT($S58="")),"",ROUND($B58-$M58,2))</f>
        <v/>
      </c>
      <c r="O58" s="20" t="str">
        <f aca="false">IF(OR(AND($A58="",$B58="",$C58="",$D58="",$E58="",$F58="",$G58="",$H58=""),NOT($S58="")),"",IF($B58=0,"n/a",INT(ROUND($N58/$B58*10000,6))/10000))</f>
        <v/>
      </c>
      <c r="P58" s="18" t="str">
        <f aca="false">IF(OR(AND($A58="",$B58="",$C58="",$D58="",$E58="",$F58="",$G58="",$H58=""),NOT($S58="")),"",ROUNDUP(ROUND($M58*10000/(10000-TargetH),9),2))</f>
        <v/>
      </c>
      <c r="Q58" s="18" t="str">
        <f aca="false">IF(OR(AND($A58="",$B58="",$C58="",$D58="",$E58="",$F58="",$G58="",$H58=""),NOT($S58="")),"",MAX(0,ROUND($P58-$B58,2)))</f>
        <v/>
      </c>
      <c r="R58" s="21" t="str">
        <f aca="false">IF(AND($A58="",$B58="",$C58="",$D58="",$E58="",$F58="",$G58="",$H58=""),"",IF(NOT($S58=""),"Check inputs",IF($B58=0,"No fee entered",IF($N58&lt;0,"Losing money on entered costs",IF(ROUND($N58*100,0)*10000&lt;TargetH*ROUND($B58*100,0),"Below your target","Meets your target")))))</f>
        <v/>
      </c>
      <c r="S58" s="22" t="str">
        <f aca="false">IF(AND($A58="",$B58="",$C58="",$D58="",$E58="",$F58="",$G58="",$H58=""),"",TRIM(IF($A58="","Customer/site label is missing. ","")&amp;IF($B58="","Monthly fee is missing. ",IF(NOT(ISNUMBER($B58)),"Monthly fee must be a number. ",IF($B58&lt;0,"Monthly fee can't be negative. ",IF(ROUND($B58,2)&lt;&gt;$B58,"Monthly fee: use up to 2 decimal places. ",IF($B58&gt;99999.99,"Monthly fee: use 99,999.99 or less. ","")))))&amp;IF($C58="","Visits per month is missing. ",IF(NOT(ISNUMBER($C58)),"Visits per month must be a number. ",IF($C58&lt;0,"Visits per month can't be negative. ",IF(ROUND($C58,3)&lt;&gt;$C58,"Visits per month: use up to 3 decimal places. ",IF($C58=0,"Visits per month must be more than 0. ",IF($C58&gt;31,"Visits per month: use 31 or less. ",""))))))&amp;IF($D58="","Service minutes per visit is missing. ",IF(NOT(ISNUMBER($D58)),"Service minutes per visit must be a number. ",IF($D58&lt;0,"Service minutes per visit can't be negative. ",IF(ROUND($D58,2)&lt;&gt;$D58,"Service minutes per visit: use up to 2 decimal places. ",IF($D58=0,"Service minutes per visit must be more than 0. ",IF($D58&gt;600,"Service minutes per visit: use 600 or less. ",""))))))&amp;IF($E58="","Drive minutes per visit is missing. ",IF(NOT(ISNUMBER($E58)),"Drive minutes per visit must be a number. ",IF($E58&lt;0,"Drive minutes per visit can't be negative. ",IF(ROUND($E58,2)&lt;&gt;$E58,"Drive minutes per visit: use up to 2 decimal places. ",IF($E58&gt;600,"Drive minutes per visit: use 600 or less. ","")))))&amp;IF($F58="","Drive miles per visit is missing. ",IF(NOT(ISNUMBER($F58)),"Drive miles per visit must be a number. ",IF($F58&lt;0,"Drive miles per visit can't be negative. ",IF(ROUND($F58,2)&lt;&gt;$F58,"Drive miles per visit: use up to 2 decimal places. ",IF($F58&gt;1000,"Drive miles per visit: use 1,000 or less. ","")))))&amp;IF($G58="","Chemicals per visit is missing. ",IF(NOT(ISNUMBER($G58)),"Chemicals per visit must be a number. ",IF($G58&lt;0,"Chemicals per visit can't be negative. ",IF(ROUND($G58,2)&lt;&gt;$G58,"Chemicals per visit: use up to 2 decimal places. ",IF($G58&gt;9999.99,"Chemicals per visit: use 9,999.99 or less. ","")))))&amp;IF($H58="","Other monthly costs is missing. ",IF(NOT(ISNUMBER($H58)),"Other monthly costs must be a number. ",IF($H58&lt;0,"Other monthly costs can't be negative. ",IF(ROUND($H58,2)&lt;&gt;$H58,"Other monthly costs: use up to 2 decimal places. ",IF($H58&gt;99999.99,"Other monthly costs: use 99,999.99 or less. ","")))))&amp;IF(SettingsOK,"","Settings incomplete.")))</f>
        <v/>
      </c>
      <c r="T58" s="23" t="str">
        <f aca="false">IF(AND($A58="",$B58="",$C58="",$D58="",$E58="",$F58="",$G58="",$H58=""),"",IF(Review!$B$5="Check inputs",IF($R58="Check inputs",ROW(),""),IF($R58="Check inputs",IF(Review!$B$5="All accounts",-2000000000000000+ROW(),""),IF(AND(Review!$B$5="Needs review",$R58="Meets your target"),"",IF($R58="No fee entered",-1000000000000000+ROW(),$N58/$B58+ROW()/1000000000)))))</f>
        <v/>
      </c>
    </row>
    <row r="59" customFormat="false" ht="15" hidden="false" customHeight="false" outlineLevel="0" collapsed="false">
      <c r="A59" s="14"/>
      <c r="B59" s="15"/>
      <c r="C59" s="16"/>
      <c r="D59" s="14"/>
      <c r="E59" s="14"/>
      <c r="F59" s="14"/>
      <c r="G59" s="15"/>
      <c r="H59" s="15"/>
      <c r="I59" s="17" t="str">
        <f aca="false">IF(OR(AND($A59="",$B59="",$C59="",$D59="",$E59="",$F59="",$G59="",$H59=""),NOT($S59="")),"",ROUND($C59*($D59+$E59)/60,4))</f>
        <v/>
      </c>
      <c r="J59" s="18" t="str">
        <f aca="false">IF(OR(AND($A59="",$B59="",$C59="",$D59="",$E59="",$F59="",$G59="",$H59=""),NOT($S59="")),"",ROUND(ROUND($C59*($D59+$E59)/60*$B$5,9),2))</f>
        <v/>
      </c>
      <c r="K59" s="18" t="str">
        <f aca="false">IF(OR(AND($A59="",$B59="",$C59="",$D59="",$E59="",$F59="",$G59="",$H59=""),NOT($S59="")),"",ROUND(ROUND($C59*$F59*$B$6,9),2))</f>
        <v/>
      </c>
      <c r="L59" s="18" t="str">
        <f aca="false">IF(OR(AND($A59="",$B59="",$C59="",$D59="",$E59="",$F59="",$G59="",$H59=""),NOT($S59="")),"",ROUND(ROUND($C59*$G59,9),2))</f>
        <v/>
      </c>
      <c r="M59" s="19" t="str">
        <f aca="false">IF(OR(AND($A59="",$B59="",$C59="",$D59="",$E59="",$F59="",$G59="",$H59=""),NOT($S59="")),"",ROUND($J59+$K59+$L59+$H59,2))</f>
        <v/>
      </c>
      <c r="N59" s="19" t="str">
        <f aca="false">IF(OR(AND($A59="",$B59="",$C59="",$D59="",$E59="",$F59="",$G59="",$H59=""),NOT($S59="")),"",ROUND($B59-$M59,2))</f>
        <v/>
      </c>
      <c r="O59" s="20" t="str">
        <f aca="false">IF(OR(AND($A59="",$B59="",$C59="",$D59="",$E59="",$F59="",$G59="",$H59=""),NOT($S59="")),"",IF($B59=0,"n/a",INT(ROUND($N59/$B59*10000,6))/10000))</f>
        <v/>
      </c>
      <c r="P59" s="18" t="str">
        <f aca="false">IF(OR(AND($A59="",$B59="",$C59="",$D59="",$E59="",$F59="",$G59="",$H59=""),NOT($S59="")),"",ROUNDUP(ROUND($M59*10000/(10000-TargetH),9),2))</f>
        <v/>
      </c>
      <c r="Q59" s="18" t="str">
        <f aca="false">IF(OR(AND($A59="",$B59="",$C59="",$D59="",$E59="",$F59="",$G59="",$H59=""),NOT($S59="")),"",MAX(0,ROUND($P59-$B59,2)))</f>
        <v/>
      </c>
      <c r="R59" s="21" t="str">
        <f aca="false">IF(AND($A59="",$B59="",$C59="",$D59="",$E59="",$F59="",$G59="",$H59=""),"",IF(NOT($S59=""),"Check inputs",IF($B59=0,"No fee entered",IF($N59&lt;0,"Losing money on entered costs",IF(ROUND($N59*100,0)*10000&lt;TargetH*ROUND($B59*100,0),"Below your target","Meets your target")))))</f>
        <v/>
      </c>
      <c r="S59" s="22" t="str">
        <f aca="false">IF(AND($A59="",$B59="",$C59="",$D59="",$E59="",$F59="",$G59="",$H59=""),"",TRIM(IF($A59="","Customer/site label is missing. ","")&amp;IF($B59="","Monthly fee is missing. ",IF(NOT(ISNUMBER($B59)),"Monthly fee must be a number. ",IF($B59&lt;0,"Monthly fee can't be negative. ",IF(ROUND($B59,2)&lt;&gt;$B59,"Monthly fee: use up to 2 decimal places. ",IF($B59&gt;99999.99,"Monthly fee: use 99,999.99 or less. ","")))))&amp;IF($C59="","Visits per month is missing. ",IF(NOT(ISNUMBER($C59)),"Visits per month must be a number. ",IF($C59&lt;0,"Visits per month can't be negative. ",IF(ROUND($C59,3)&lt;&gt;$C59,"Visits per month: use up to 3 decimal places. ",IF($C59=0,"Visits per month must be more than 0. ",IF($C59&gt;31,"Visits per month: use 31 or less. ",""))))))&amp;IF($D59="","Service minutes per visit is missing. ",IF(NOT(ISNUMBER($D59)),"Service minutes per visit must be a number. ",IF($D59&lt;0,"Service minutes per visit can't be negative. ",IF(ROUND($D59,2)&lt;&gt;$D59,"Service minutes per visit: use up to 2 decimal places. ",IF($D59=0,"Service minutes per visit must be more than 0. ",IF($D59&gt;600,"Service minutes per visit: use 600 or less. ",""))))))&amp;IF($E59="","Drive minutes per visit is missing. ",IF(NOT(ISNUMBER($E59)),"Drive minutes per visit must be a number. ",IF($E59&lt;0,"Drive minutes per visit can't be negative. ",IF(ROUND($E59,2)&lt;&gt;$E59,"Drive minutes per visit: use up to 2 decimal places. ",IF($E59&gt;600,"Drive minutes per visit: use 600 or less. ","")))))&amp;IF($F59="","Drive miles per visit is missing. ",IF(NOT(ISNUMBER($F59)),"Drive miles per visit must be a number. ",IF($F59&lt;0,"Drive miles per visit can't be negative. ",IF(ROUND($F59,2)&lt;&gt;$F59,"Drive miles per visit: use up to 2 decimal places. ",IF($F59&gt;1000,"Drive miles per visit: use 1,000 or less. ","")))))&amp;IF($G59="","Chemicals per visit is missing. ",IF(NOT(ISNUMBER($G59)),"Chemicals per visit must be a number. ",IF($G59&lt;0,"Chemicals per visit can't be negative. ",IF(ROUND($G59,2)&lt;&gt;$G59,"Chemicals per visit: use up to 2 decimal places. ",IF($G59&gt;9999.99,"Chemicals per visit: use 9,999.99 or less. ","")))))&amp;IF($H59="","Other monthly costs is missing. ",IF(NOT(ISNUMBER($H59)),"Other monthly costs must be a number. ",IF($H59&lt;0,"Other monthly costs can't be negative. ",IF(ROUND($H59,2)&lt;&gt;$H59,"Other monthly costs: use up to 2 decimal places. ",IF($H59&gt;99999.99,"Other monthly costs: use 99,999.99 or less. ","")))))&amp;IF(SettingsOK,"","Settings incomplete.")))</f>
        <v/>
      </c>
      <c r="T59" s="23" t="str">
        <f aca="false">IF(AND($A59="",$B59="",$C59="",$D59="",$E59="",$F59="",$G59="",$H59=""),"",IF(Review!$B$5="Check inputs",IF($R59="Check inputs",ROW(),""),IF($R59="Check inputs",IF(Review!$B$5="All accounts",-2000000000000000+ROW(),""),IF(AND(Review!$B$5="Needs review",$R59="Meets your target"),"",IF($R59="No fee entered",-1000000000000000+ROW(),$N59/$B59+ROW()/1000000000)))))</f>
        <v/>
      </c>
    </row>
    <row r="60" customFormat="false" ht="15" hidden="false" customHeight="false" outlineLevel="0" collapsed="false">
      <c r="A60" s="14"/>
      <c r="B60" s="15"/>
      <c r="C60" s="16"/>
      <c r="D60" s="14"/>
      <c r="E60" s="14"/>
      <c r="F60" s="14"/>
      <c r="G60" s="15"/>
      <c r="H60" s="15"/>
      <c r="I60" s="17" t="str">
        <f aca="false">IF(OR(AND($A60="",$B60="",$C60="",$D60="",$E60="",$F60="",$G60="",$H60=""),NOT($S60="")),"",ROUND($C60*($D60+$E60)/60,4))</f>
        <v/>
      </c>
      <c r="J60" s="18" t="str">
        <f aca="false">IF(OR(AND($A60="",$B60="",$C60="",$D60="",$E60="",$F60="",$G60="",$H60=""),NOT($S60="")),"",ROUND(ROUND($C60*($D60+$E60)/60*$B$5,9),2))</f>
        <v/>
      </c>
      <c r="K60" s="18" t="str">
        <f aca="false">IF(OR(AND($A60="",$B60="",$C60="",$D60="",$E60="",$F60="",$G60="",$H60=""),NOT($S60="")),"",ROUND(ROUND($C60*$F60*$B$6,9),2))</f>
        <v/>
      </c>
      <c r="L60" s="18" t="str">
        <f aca="false">IF(OR(AND($A60="",$B60="",$C60="",$D60="",$E60="",$F60="",$G60="",$H60=""),NOT($S60="")),"",ROUND(ROUND($C60*$G60,9),2))</f>
        <v/>
      </c>
      <c r="M60" s="19" t="str">
        <f aca="false">IF(OR(AND($A60="",$B60="",$C60="",$D60="",$E60="",$F60="",$G60="",$H60=""),NOT($S60="")),"",ROUND($J60+$K60+$L60+$H60,2))</f>
        <v/>
      </c>
      <c r="N60" s="19" t="str">
        <f aca="false">IF(OR(AND($A60="",$B60="",$C60="",$D60="",$E60="",$F60="",$G60="",$H60=""),NOT($S60="")),"",ROUND($B60-$M60,2))</f>
        <v/>
      </c>
      <c r="O60" s="20" t="str">
        <f aca="false">IF(OR(AND($A60="",$B60="",$C60="",$D60="",$E60="",$F60="",$G60="",$H60=""),NOT($S60="")),"",IF($B60=0,"n/a",INT(ROUND($N60/$B60*10000,6))/10000))</f>
        <v/>
      </c>
      <c r="P60" s="18" t="str">
        <f aca="false">IF(OR(AND($A60="",$B60="",$C60="",$D60="",$E60="",$F60="",$G60="",$H60=""),NOT($S60="")),"",ROUNDUP(ROUND($M60*10000/(10000-TargetH),9),2))</f>
        <v/>
      </c>
      <c r="Q60" s="18" t="str">
        <f aca="false">IF(OR(AND($A60="",$B60="",$C60="",$D60="",$E60="",$F60="",$G60="",$H60=""),NOT($S60="")),"",MAX(0,ROUND($P60-$B60,2)))</f>
        <v/>
      </c>
      <c r="R60" s="21" t="str">
        <f aca="false">IF(AND($A60="",$B60="",$C60="",$D60="",$E60="",$F60="",$G60="",$H60=""),"",IF(NOT($S60=""),"Check inputs",IF($B60=0,"No fee entered",IF($N60&lt;0,"Losing money on entered costs",IF(ROUND($N60*100,0)*10000&lt;TargetH*ROUND($B60*100,0),"Below your target","Meets your target")))))</f>
        <v/>
      </c>
      <c r="S60" s="22" t="str">
        <f aca="false">IF(AND($A60="",$B60="",$C60="",$D60="",$E60="",$F60="",$G60="",$H60=""),"",TRIM(IF($A60="","Customer/site label is missing. ","")&amp;IF($B60="","Monthly fee is missing. ",IF(NOT(ISNUMBER($B60)),"Monthly fee must be a number. ",IF($B60&lt;0,"Monthly fee can't be negative. ",IF(ROUND($B60,2)&lt;&gt;$B60,"Monthly fee: use up to 2 decimal places. ",IF($B60&gt;99999.99,"Monthly fee: use 99,999.99 or less. ","")))))&amp;IF($C60="","Visits per month is missing. ",IF(NOT(ISNUMBER($C60)),"Visits per month must be a number. ",IF($C60&lt;0,"Visits per month can't be negative. ",IF(ROUND($C60,3)&lt;&gt;$C60,"Visits per month: use up to 3 decimal places. ",IF($C60=0,"Visits per month must be more than 0. ",IF($C60&gt;31,"Visits per month: use 31 or less. ",""))))))&amp;IF($D60="","Service minutes per visit is missing. ",IF(NOT(ISNUMBER($D60)),"Service minutes per visit must be a number. ",IF($D60&lt;0,"Service minutes per visit can't be negative. ",IF(ROUND($D60,2)&lt;&gt;$D60,"Service minutes per visit: use up to 2 decimal places. ",IF($D60=0,"Service minutes per visit must be more than 0. ",IF($D60&gt;600,"Service minutes per visit: use 600 or less. ",""))))))&amp;IF($E60="","Drive minutes per visit is missing. ",IF(NOT(ISNUMBER($E60)),"Drive minutes per visit must be a number. ",IF($E60&lt;0,"Drive minutes per visit can't be negative. ",IF(ROUND($E60,2)&lt;&gt;$E60,"Drive minutes per visit: use up to 2 decimal places. ",IF($E60&gt;600,"Drive minutes per visit: use 600 or less. ","")))))&amp;IF($F60="","Drive miles per visit is missing. ",IF(NOT(ISNUMBER($F60)),"Drive miles per visit must be a number. ",IF($F60&lt;0,"Drive miles per visit can't be negative. ",IF(ROUND($F60,2)&lt;&gt;$F60,"Drive miles per visit: use up to 2 decimal places. ",IF($F60&gt;1000,"Drive miles per visit: use 1,000 or less. ","")))))&amp;IF($G60="","Chemicals per visit is missing. ",IF(NOT(ISNUMBER($G60)),"Chemicals per visit must be a number. ",IF($G60&lt;0,"Chemicals per visit can't be negative. ",IF(ROUND($G60,2)&lt;&gt;$G60,"Chemicals per visit: use up to 2 decimal places. ",IF($G60&gt;9999.99,"Chemicals per visit: use 9,999.99 or less. ","")))))&amp;IF($H60="","Other monthly costs is missing. ",IF(NOT(ISNUMBER($H60)),"Other monthly costs must be a number. ",IF($H60&lt;0,"Other monthly costs can't be negative. ",IF(ROUND($H60,2)&lt;&gt;$H60,"Other monthly costs: use up to 2 decimal places. ",IF($H60&gt;99999.99,"Other monthly costs: use 99,999.99 or less. ","")))))&amp;IF(SettingsOK,"","Settings incomplete.")))</f>
        <v/>
      </c>
      <c r="T60" s="23" t="str">
        <f aca="false">IF(AND($A60="",$B60="",$C60="",$D60="",$E60="",$F60="",$G60="",$H60=""),"",IF(Review!$B$5="Check inputs",IF($R60="Check inputs",ROW(),""),IF($R60="Check inputs",IF(Review!$B$5="All accounts",-2000000000000000+ROW(),""),IF(AND(Review!$B$5="Needs review",$R60="Meets your target"),"",IF($R60="No fee entered",-1000000000000000+ROW(),$N60/$B60+ROW()/1000000000)))))</f>
        <v/>
      </c>
    </row>
    <row r="61" customFormat="false" ht="15" hidden="false" customHeight="false" outlineLevel="0" collapsed="false">
      <c r="A61" s="14"/>
      <c r="B61" s="15"/>
      <c r="C61" s="16"/>
      <c r="D61" s="14"/>
      <c r="E61" s="14"/>
      <c r="F61" s="14"/>
      <c r="G61" s="15"/>
      <c r="H61" s="15"/>
      <c r="I61" s="17" t="str">
        <f aca="false">IF(OR(AND($A61="",$B61="",$C61="",$D61="",$E61="",$F61="",$G61="",$H61=""),NOT($S61="")),"",ROUND($C61*($D61+$E61)/60,4))</f>
        <v/>
      </c>
      <c r="J61" s="18" t="str">
        <f aca="false">IF(OR(AND($A61="",$B61="",$C61="",$D61="",$E61="",$F61="",$G61="",$H61=""),NOT($S61="")),"",ROUND(ROUND($C61*($D61+$E61)/60*$B$5,9),2))</f>
        <v/>
      </c>
      <c r="K61" s="18" t="str">
        <f aca="false">IF(OR(AND($A61="",$B61="",$C61="",$D61="",$E61="",$F61="",$G61="",$H61=""),NOT($S61="")),"",ROUND(ROUND($C61*$F61*$B$6,9),2))</f>
        <v/>
      </c>
      <c r="L61" s="18" t="str">
        <f aca="false">IF(OR(AND($A61="",$B61="",$C61="",$D61="",$E61="",$F61="",$G61="",$H61=""),NOT($S61="")),"",ROUND(ROUND($C61*$G61,9),2))</f>
        <v/>
      </c>
      <c r="M61" s="19" t="str">
        <f aca="false">IF(OR(AND($A61="",$B61="",$C61="",$D61="",$E61="",$F61="",$G61="",$H61=""),NOT($S61="")),"",ROUND($J61+$K61+$L61+$H61,2))</f>
        <v/>
      </c>
      <c r="N61" s="19" t="str">
        <f aca="false">IF(OR(AND($A61="",$B61="",$C61="",$D61="",$E61="",$F61="",$G61="",$H61=""),NOT($S61="")),"",ROUND($B61-$M61,2))</f>
        <v/>
      </c>
      <c r="O61" s="20" t="str">
        <f aca="false">IF(OR(AND($A61="",$B61="",$C61="",$D61="",$E61="",$F61="",$G61="",$H61=""),NOT($S61="")),"",IF($B61=0,"n/a",INT(ROUND($N61/$B61*10000,6))/10000))</f>
        <v/>
      </c>
      <c r="P61" s="18" t="str">
        <f aca="false">IF(OR(AND($A61="",$B61="",$C61="",$D61="",$E61="",$F61="",$G61="",$H61=""),NOT($S61="")),"",ROUNDUP(ROUND($M61*10000/(10000-TargetH),9),2))</f>
        <v/>
      </c>
      <c r="Q61" s="18" t="str">
        <f aca="false">IF(OR(AND($A61="",$B61="",$C61="",$D61="",$E61="",$F61="",$G61="",$H61=""),NOT($S61="")),"",MAX(0,ROUND($P61-$B61,2)))</f>
        <v/>
      </c>
      <c r="R61" s="21" t="str">
        <f aca="false">IF(AND($A61="",$B61="",$C61="",$D61="",$E61="",$F61="",$G61="",$H61=""),"",IF(NOT($S61=""),"Check inputs",IF($B61=0,"No fee entered",IF($N61&lt;0,"Losing money on entered costs",IF(ROUND($N61*100,0)*10000&lt;TargetH*ROUND($B61*100,0),"Below your target","Meets your target")))))</f>
        <v/>
      </c>
      <c r="S61" s="22" t="str">
        <f aca="false">IF(AND($A61="",$B61="",$C61="",$D61="",$E61="",$F61="",$G61="",$H61=""),"",TRIM(IF($A61="","Customer/site label is missing. ","")&amp;IF($B61="","Monthly fee is missing. ",IF(NOT(ISNUMBER($B61)),"Monthly fee must be a number. ",IF($B61&lt;0,"Monthly fee can't be negative. ",IF(ROUND($B61,2)&lt;&gt;$B61,"Monthly fee: use up to 2 decimal places. ",IF($B61&gt;99999.99,"Monthly fee: use 99,999.99 or less. ","")))))&amp;IF($C61="","Visits per month is missing. ",IF(NOT(ISNUMBER($C61)),"Visits per month must be a number. ",IF($C61&lt;0,"Visits per month can't be negative. ",IF(ROUND($C61,3)&lt;&gt;$C61,"Visits per month: use up to 3 decimal places. ",IF($C61=0,"Visits per month must be more than 0. ",IF($C61&gt;31,"Visits per month: use 31 or less. ",""))))))&amp;IF($D61="","Service minutes per visit is missing. ",IF(NOT(ISNUMBER($D61)),"Service minutes per visit must be a number. ",IF($D61&lt;0,"Service minutes per visit can't be negative. ",IF(ROUND($D61,2)&lt;&gt;$D61,"Service minutes per visit: use up to 2 decimal places. ",IF($D61=0,"Service minutes per visit must be more than 0. ",IF($D61&gt;600,"Service minutes per visit: use 600 or less. ",""))))))&amp;IF($E61="","Drive minutes per visit is missing. ",IF(NOT(ISNUMBER($E61)),"Drive minutes per visit must be a number. ",IF($E61&lt;0,"Drive minutes per visit can't be negative. ",IF(ROUND($E61,2)&lt;&gt;$E61,"Drive minutes per visit: use up to 2 decimal places. ",IF($E61&gt;600,"Drive minutes per visit: use 600 or less. ","")))))&amp;IF($F61="","Drive miles per visit is missing. ",IF(NOT(ISNUMBER($F61)),"Drive miles per visit must be a number. ",IF($F61&lt;0,"Drive miles per visit can't be negative. ",IF(ROUND($F61,2)&lt;&gt;$F61,"Drive miles per visit: use up to 2 decimal places. ",IF($F61&gt;1000,"Drive miles per visit: use 1,000 or less. ","")))))&amp;IF($G61="","Chemicals per visit is missing. ",IF(NOT(ISNUMBER($G61)),"Chemicals per visit must be a number. ",IF($G61&lt;0,"Chemicals per visit can't be negative. ",IF(ROUND($G61,2)&lt;&gt;$G61,"Chemicals per visit: use up to 2 decimal places. ",IF($G61&gt;9999.99,"Chemicals per visit: use 9,999.99 or less. ","")))))&amp;IF($H61="","Other monthly costs is missing. ",IF(NOT(ISNUMBER($H61)),"Other monthly costs must be a number. ",IF($H61&lt;0,"Other monthly costs can't be negative. ",IF(ROUND($H61,2)&lt;&gt;$H61,"Other monthly costs: use up to 2 decimal places. ",IF($H61&gt;99999.99,"Other monthly costs: use 99,999.99 or less. ","")))))&amp;IF(SettingsOK,"","Settings incomplete.")))</f>
        <v/>
      </c>
      <c r="T61" s="23" t="str">
        <f aca="false">IF(AND($A61="",$B61="",$C61="",$D61="",$E61="",$F61="",$G61="",$H61=""),"",IF(Review!$B$5="Check inputs",IF($R61="Check inputs",ROW(),""),IF($R61="Check inputs",IF(Review!$B$5="All accounts",-2000000000000000+ROW(),""),IF(AND(Review!$B$5="Needs review",$R61="Meets your target"),"",IF($R61="No fee entered",-1000000000000000+ROW(),$N61/$B61+ROW()/1000000000)))))</f>
        <v/>
      </c>
    </row>
    <row r="62" customFormat="false" ht="15" hidden="false" customHeight="false" outlineLevel="0" collapsed="false">
      <c r="A62" s="14"/>
      <c r="B62" s="15"/>
      <c r="C62" s="16"/>
      <c r="D62" s="14"/>
      <c r="E62" s="14"/>
      <c r="F62" s="14"/>
      <c r="G62" s="15"/>
      <c r="H62" s="15"/>
      <c r="I62" s="17" t="str">
        <f aca="false">IF(OR(AND($A62="",$B62="",$C62="",$D62="",$E62="",$F62="",$G62="",$H62=""),NOT($S62="")),"",ROUND($C62*($D62+$E62)/60,4))</f>
        <v/>
      </c>
      <c r="J62" s="18" t="str">
        <f aca="false">IF(OR(AND($A62="",$B62="",$C62="",$D62="",$E62="",$F62="",$G62="",$H62=""),NOT($S62="")),"",ROUND(ROUND($C62*($D62+$E62)/60*$B$5,9),2))</f>
        <v/>
      </c>
      <c r="K62" s="18" t="str">
        <f aca="false">IF(OR(AND($A62="",$B62="",$C62="",$D62="",$E62="",$F62="",$G62="",$H62=""),NOT($S62="")),"",ROUND(ROUND($C62*$F62*$B$6,9),2))</f>
        <v/>
      </c>
      <c r="L62" s="18" t="str">
        <f aca="false">IF(OR(AND($A62="",$B62="",$C62="",$D62="",$E62="",$F62="",$G62="",$H62=""),NOT($S62="")),"",ROUND(ROUND($C62*$G62,9),2))</f>
        <v/>
      </c>
      <c r="M62" s="19" t="str">
        <f aca="false">IF(OR(AND($A62="",$B62="",$C62="",$D62="",$E62="",$F62="",$G62="",$H62=""),NOT($S62="")),"",ROUND($J62+$K62+$L62+$H62,2))</f>
        <v/>
      </c>
      <c r="N62" s="19" t="str">
        <f aca="false">IF(OR(AND($A62="",$B62="",$C62="",$D62="",$E62="",$F62="",$G62="",$H62=""),NOT($S62="")),"",ROUND($B62-$M62,2))</f>
        <v/>
      </c>
      <c r="O62" s="20" t="str">
        <f aca="false">IF(OR(AND($A62="",$B62="",$C62="",$D62="",$E62="",$F62="",$G62="",$H62=""),NOT($S62="")),"",IF($B62=0,"n/a",INT(ROUND($N62/$B62*10000,6))/10000))</f>
        <v/>
      </c>
      <c r="P62" s="18" t="str">
        <f aca="false">IF(OR(AND($A62="",$B62="",$C62="",$D62="",$E62="",$F62="",$G62="",$H62=""),NOT($S62="")),"",ROUNDUP(ROUND($M62*10000/(10000-TargetH),9),2))</f>
        <v/>
      </c>
      <c r="Q62" s="18" t="str">
        <f aca="false">IF(OR(AND($A62="",$B62="",$C62="",$D62="",$E62="",$F62="",$G62="",$H62=""),NOT($S62="")),"",MAX(0,ROUND($P62-$B62,2)))</f>
        <v/>
      </c>
      <c r="R62" s="21" t="str">
        <f aca="false">IF(AND($A62="",$B62="",$C62="",$D62="",$E62="",$F62="",$G62="",$H62=""),"",IF(NOT($S62=""),"Check inputs",IF($B62=0,"No fee entered",IF($N62&lt;0,"Losing money on entered costs",IF(ROUND($N62*100,0)*10000&lt;TargetH*ROUND($B62*100,0),"Below your target","Meets your target")))))</f>
        <v/>
      </c>
      <c r="S62" s="22" t="str">
        <f aca="false">IF(AND($A62="",$B62="",$C62="",$D62="",$E62="",$F62="",$G62="",$H62=""),"",TRIM(IF($A62="","Customer/site label is missing. ","")&amp;IF($B62="","Monthly fee is missing. ",IF(NOT(ISNUMBER($B62)),"Monthly fee must be a number. ",IF($B62&lt;0,"Monthly fee can't be negative. ",IF(ROUND($B62,2)&lt;&gt;$B62,"Monthly fee: use up to 2 decimal places. ",IF($B62&gt;99999.99,"Monthly fee: use 99,999.99 or less. ","")))))&amp;IF($C62="","Visits per month is missing. ",IF(NOT(ISNUMBER($C62)),"Visits per month must be a number. ",IF($C62&lt;0,"Visits per month can't be negative. ",IF(ROUND($C62,3)&lt;&gt;$C62,"Visits per month: use up to 3 decimal places. ",IF($C62=0,"Visits per month must be more than 0. ",IF($C62&gt;31,"Visits per month: use 31 or less. ",""))))))&amp;IF($D62="","Service minutes per visit is missing. ",IF(NOT(ISNUMBER($D62)),"Service minutes per visit must be a number. ",IF($D62&lt;0,"Service minutes per visit can't be negative. ",IF(ROUND($D62,2)&lt;&gt;$D62,"Service minutes per visit: use up to 2 decimal places. ",IF($D62=0,"Service minutes per visit must be more than 0. ",IF($D62&gt;600,"Service minutes per visit: use 600 or less. ",""))))))&amp;IF($E62="","Drive minutes per visit is missing. ",IF(NOT(ISNUMBER($E62)),"Drive minutes per visit must be a number. ",IF($E62&lt;0,"Drive minutes per visit can't be negative. ",IF(ROUND($E62,2)&lt;&gt;$E62,"Drive minutes per visit: use up to 2 decimal places. ",IF($E62&gt;600,"Drive minutes per visit: use 600 or less. ","")))))&amp;IF($F62="","Drive miles per visit is missing. ",IF(NOT(ISNUMBER($F62)),"Drive miles per visit must be a number. ",IF($F62&lt;0,"Drive miles per visit can't be negative. ",IF(ROUND($F62,2)&lt;&gt;$F62,"Drive miles per visit: use up to 2 decimal places. ",IF($F62&gt;1000,"Drive miles per visit: use 1,000 or less. ","")))))&amp;IF($G62="","Chemicals per visit is missing. ",IF(NOT(ISNUMBER($G62)),"Chemicals per visit must be a number. ",IF($G62&lt;0,"Chemicals per visit can't be negative. ",IF(ROUND($G62,2)&lt;&gt;$G62,"Chemicals per visit: use up to 2 decimal places. ",IF($G62&gt;9999.99,"Chemicals per visit: use 9,999.99 or less. ","")))))&amp;IF($H62="","Other monthly costs is missing. ",IF(NOT(ISNUMBER($H62)),"Other monthly costs must be a number. ",IF($H62&lt;0,"Other monthly costs can't be negative. ",IF(ROUND($H62,2)&lt;&gt;$H62,"Other monthly costs: use up to 2 decimal places. ",IF($H62&gt;99999.99,"Other monthly costs: use 99,999.99 or less. ","")))))&amp;IF(SettingsOK,"","Settings incomplete.")))</f>
        <v/>
      </c>
      <c r="T62" s="23" t="str">
        <f aca="false">IF(AND($A62="",$B62="",$C62="",$D62="",$E62="",$F62="",$G62="",$H62=""),"",IF(Review!$B$5="Check inputs",IF($R62="Check inputs",ROW(),""),IF($R62="Check inputs",IF(Review!$B$5="All accounts",-2000000000000000+ROW(),""),IF(AND(Review!$B$5="Needs review",$R62="Meets your target"),"",IF($R62="No fee entered",-1000000000000000+ROW(),$N62/$B62+ROW()/1000000000)))))</f>
        <v/>
      </c>
    </row>
    <row r="63" customFormat="false" ht="15" hidden="false" customHeight="false" outlineLevel="0" collapsed="false">
      <c r="A63" s="14"/>
      <c r="B63" s="15"/>
      <c r="C63" s="16"/>
      <c r="D63" s="14"/>
      <c r="E63" s="14"/>
      <c r="F63" s="14"/>
      <c r="G63" s="15"/>
      <c r="H63" s="15"/>
      <c r="I63" s="17" t="str">
        <f aca="false">IF(OR(AND($A63="",$B63="",$C63="",$D63="",$E63="",$F63="",$G63="",$H63=""),NOT($S63="")),"",ROUND($C63*($D63+$E63)/60,4))</f>
        <v/>
      </c>
      <c r="J63" s="18" t="str">
        <f aca="false">IF(OR(AND($A63="",$B63="",$C63="",$D63="",$E63="",$F63="",$G63="",$H63=""),NOT($S63="")),"",ROUND(ROUND($C63*($D63+$E63)/60*$B$5,9),2))</f>
        <v/>
      </c>
      <c r="K63" s="18" t="str">
        <f aca="false">IF(OR(AND($A63="",$B63="",$C63="",$D63="",$E63="",$F63="",$G63="",$H63=""),NOT($S63="")),"",ROUND(ROUND($C63*$F63*$B$6,9),2))</f>
        <v/>
      </c>
      <c r="L63" s="18" t="str">
        <f aca="false">IF(OR(AND($A63="",$B63="",$C63="",$D63="",$E63="",$F63="",$G63="",$H63=""),NOT($S63="")),"",ROUND(ROUND($C63*$G63,9),2))</f>
        <v/>
      </c>
      <c r="M63" s="19" t="str">
        <f aca="false">IF(OR(AND($A63="",$B63="",$C63="",$D63="",$E63="",$F63="",$G63="",$H63=""),NOT($S63="")),"",ROUND($J63+$K63+$L63+$H63,2))</f>
        <v/>
      </c>
      <c r="N63" s="19" t="str">
        <f aca="false">IF(OR(AND($A63="",$B63="",$C63="",$D63="",$E63="",$F63="",$G63="",$H63=""),NOT($S63="")),"",ROUND($B63-$M63,2))</f>
        <v/>
      </c>
      <c r="O63" s="20" t="str">
        <f aca="false">IF(OR(AND($A63="",$B63="",$C63="",$D63="",$E63="",$F63="",$G63="",$H63=""),NOT($S63="")),"",IF($B63=0,"n/a",INT(ROUND($N63/$B63*10000,6))/10000))</f>
        <v/>
      </c>
      <c r="P63" s="18" t="str">
        <f aca="false">IF(OR(AND($A63="",$B63="",$C63="",$D63="",$E63="",$F63="",$G63="",$H63=""),NOT($S63="")),"",ROUNDUP(ROUND($M63*10000/(10000-TargetH),9),2))</f>
        <v/>
      </c>
      <c r="Q63" s="18" t="str">
        <f aca="false">IF(OR(AND($A63="",$B63="",$C63="",$D63="",$E63="",$F63="",$G63="",$H63=""),NOT($S63="")),"",MAX(0,ROUND($P63-$B63,2)))</f>
        <v/>
      </c>
      <c r="R63" s="21" t="str">
        <f aca="false">IF(AND($A63="",$B63="",$C63="",$D63="",$E63="",$F63="",$G63="",$H63=""),"",IF(NOT($S63=""),"Check inputs",IF($B63=0,"No fee entered",IF($N63&lt;0,"Losing money on entered costs",IF(ROUND($N63*100,0)*10000&lt;TargetH*ROUND($B63*100,0),"Below your target","Meets your target")))))</f>
        <v/>
      </c>
      <c r="S63" s="22" t="str">
        <f aca="false">IF(AND($A63="",$B63="",$C63="",$D63="",$E63="",$F63="",$G63="",$H63=""),"",TRIM(IF($A63="","Customer/site label is missing. ","")&amp;IF($B63="","Monthly fee is missing. ",IF(NOT(ISNUMBER($B63)),"Monthly fee must be a number. ",IF($B63&lt;0,"Monthly fee can't be negative. ",IF(ROUND($B63,2)&lt;&gt;$B63,"Monthly fee: use up to 2 decimal places. ",IF($B63&gt;99999.99,"Monthly fee: use 99,999.99 or less. ","")))))&amp;IF($C63="","Visits per month is missing. ",IF(NOT(ISNUMBER($C63)),"Visits per month must be a number. ",IF($C63&lt;0,"Visits per month can't be negative. ",IF(ROUND($C63,3)&lt;&gt;$C63,"Visits per month: use up to 3 decimal places. ",IF($C63=0,"Visits per month must be more than 0. ",IF($C63&gt;31,"Visits per month: use 31 or less. ",""))))))&amp;IF($D63="","Service minutes per visit is missing. ",IF(NOT(ISNUMBER($D63)),"Service minutes per visit must be a number. ",IF($D63&lt;0,"Service minutes per visit can't be negative. ",IF(ROUND($D63,2)&lt;&gt;$D63,"Service minutes per visit: use up to 2 decimal places. ",IF($D63=0,"Service minutes per visit must be more than 0. ",IF($D63&gt;600,"Service minutes per visit: use 600 or less. ",""))))))&amp;IF($E63="","Drive minutes per visit is missing. ",IF(NOT(ISNUMBER($E63)),"Drive minutes per visit must be a number. ",IF($E63&lt;0,"Drive minutes per visit can't be negative. ",IF(ROUND($E63,2)&lt;&gt;$E63,"Drive minutes per visit: use up to 2 decimal places. ",IF($E63&gt;600,"Drive minutes per visit: use 600 or less. ","")))))&amp;IF($F63="","Drive miles per visit is missing. ",IF(NOT(ISNUMBER($F63)),"Drive miles per visit must be a number. ",IF($F63&lt;0,"Drive miles per visit can't be negative. ",IF(ROUND($F63,2)&lt;&gt;$F63,"Drive miles per visit: use up to 2 decimal places. ",IF($F63&gt;1000,"Drive miles per visit: use 1,000 or less. ","")))))&amp;IF($G63="","Chemicals per visit is missing. ",IF(NOT(ISNUMBER($G63)),"Chemicals per visit must be a number. ",IF($G63&lt;0,"Chemicals per visit can't be negative. ",IF(ROUND($G63,2)&lt;&gt;$G63,"Chemicals per visit: use up to 2 decimal places. ",IF($G63&gt;9999.99,"Chemicals per visit: use 9,999.99 or less. ","")))))&amp;IF($H63="","Other monthly costs is missing. ",IF(NOT(ISNUMBER($H63)),"Other monthly costs must be a number. ",IF($H63&lt;0,"Other monthly costs can't be negative. ",IF(ROUND($H63,2)&lt;&gt;$H63,"Other monthly costs: use up to 2 decimal places. ",IF($H63&gt;99999.99,"Other monthly costs: use 99,999.99 or less. ","")))))&amp;IF(SettingsOK,"","Settings incomplete.")))</f>
        <v/>
      </c>
      <c r="T63" s="23" t="str">
        <f aca="false">IF(AND($A63="",$B63="",$C63="",$D63="",$E63="",$F63="",$G63="",$H63=""),"",IF(Review!$B$5="Check inputs",IF($R63="Check inputs",ROW(),""),IF($R63="Check inputs",IF(Review!$B$5="All accounts",-2000000000000000+ROW(),""),IF(AND(Review!$B$5="Needs review",$R63="Meets your target"),"",IF($R63="No fee entered",-1000000000000000+ROW(),$N63/$B63+ROW()/1000000000)))))</f>
        <v/>
      </c>
    </row>
    <row r="64" customFormat="false" ht="15" hidden="false" customHeight="false" outlineLevel="0" collapsed="false">
      <c r="A64" s="14"/>
      <c r="B64" s="15"/>
      <c r="C64" s="16"/>
      <c r="D64" s="14"/>
      <c r="E64" s="14"/>
      <c r="F64" s="14"/>
      <c r="G64" s="15"/>
      <c r="H64" s="15"/>
      <c r="I64" s="17" t="str">
        <f aca="false">IF(OR(AND($A64="",$B64="",$C64="",$D64="",$E64="",$F64="",$G64="",$H64=""),NOT($S64="")),"",ROUND($C64*($D64+$E64)/60,4))</f>
        <v/>
      </c>
      <c r="J64" s="18" t="str">
        <f aca="false">IF(OR(AND($A64="",$B64="",$C64="",$D64="",$E64="",$F64="",$G64="",$H64=""),NOT($S64="")),"",ROUND(ROUND($C64*($D64+$E64)/60*$B$5,9),2))</f>
        <v/>
      </c>
      <c r="K64" s="18" t="str">
        <f aca="false">IF(OR(AND($A64="",$B64="",$C64="",$D64="",$E64="",$F64="",$G64="",$H64=""),NOT($S64="")),"",ROUND(ROUND($C64*$F64*$B$6,9),2))</f>
        <v/>
      </c>
      <c r="L64" s="18" t="str">
        <f aca="false">IF(OR(AND($A64="",$B64="",$C64="",$D64="",$E64="",$F64="",$G64="",$H64=""),NOT($S64="")),"",ROUND(ROUND($C64*$G64,9),2))</f>
        <v/>
      </c>
      <c r="M64" s="19" t="str">
        <f aca="false">IF(OR(AND($A64="",$B64="",$C64="",$D64="",$E64="",$F64="",$G64="",$H64=""),NOT($S64="")),"",ROUND($J64+$K64+$L64+$H64,2))</f>
        <v/>
      </c>
      <c r="N64" s="19" t="str">
        <f aca="false">IF(OR(AND($A64="",$B64="",$C64="",$D64="",$E64="",$F64="",$G64="",$H64=""),NOT($S64="")),"",ROUND($B64-$M64,2))</f>
        <v/>
      </c>
      <c r="O64" s="20" t="str">
        <f aca="false">IF(OR(AND($A64="",$B64="",$C64="",$D64="",$E64="",$F64="",$G64="",$H64=""),NOT($S64="")),"",IF($B64=0,"n/a",INT(ROUND($N64/$B64*10000,6))/10000))</f>
        <v/>
      </c>
      <c r="P64" s="18" t="str">
        <f aca="false">IF(OR(AND($A64="",$B64="",$C64="",$D64="",$E64="",$F64="",$G64="",$H64=""),NOT($S64="")),"",ROUNDUP(ROUND($M64*10000/(10000-TargetH),9),2))</f>
        <v/>
      </c>
      <c r="Q64" s="18" t="str">
        <f aca="false">IF(OR(AND($A64="",$B64="",$C64="",$D64="",$E64="",$F64="",$G64="",$H64=""),NOT($S64="")),"",MAX(0,ROUND($P64-$B64,2)))</f>
        <v/>
      </c>
      <c r="R64" s="21" t="str">
        <f aca="false">IF(AND($A64="",$B64="",$C64="",$D64="",$E64="",$F64="",$G64="",$H64=""),"",IF(NOT($S64=""),"Check inputs",IF($B64=0,"No fee entered",IF($N64&lt;0,"Losing money on entered costs",IF(ROUND($N64*100,0)*10000&lt;TargetH*ROUND($B64*100,0),"Below your target","Meets your target")))))</f>
        <v/>
      </c>
      <c r="S64" s="22" t="str">
        <f aca="false">IF(AND($A64="",$B64="",$C64="",$D64="",$E64="",$F64="",$G64="",$H64=""),"",TRIM(IF($A64="","Customer/site label is missing. ","")&amp;IF($B64="","Monthly fee is missing. ",IF(NOT(ISNUMBER($B64)),"Monthly fee must be a number. ",IF($B64&lt;0,"Monthly fee can't be negative. ",IF(ROUND($B64,2)&lt;&gt;$B64,"Monthly fee: use up to 2 decimal places. ",IF($B64&gt;99999.99,"Monthly fee: use 99,999.99 or less. ","")))))&amp;IF($C64="","Visits per month is missing. ",IF(NOT(ISNUMBER($C64)),"Visits per month must be a number. ",IF($C64&lt;0,"Visits per month can't be negative. ",IF(ROUND($C64,3)&lt;&gt;$C64,"Visits per month: use up to 3 decimal places. ",IF($C64=0,"Visits per month must be more than 0. ",IF($C64&gt;31,"Visits per month: use 31 or less. ",""))))))&amp;IF($D64="","Service minutes per visit is missing. ",IF(NOT(ISNUMBER($D64)),"Service minutes per visit must be a number. ",IF($D64&lt;0,"Service minutes per visit can't be negative. ",IF(ROUND($D64,2)&lt;&gt;$D64,"Service minutes per visit: use up to 2 decimal places. ",IF($D64=0,"Service minutes per visit must be more than 0. ",IF($D64&gt;600,"Service minutes per visit: use 600 or less. ",""))))))&amp;IF($E64="","Drive minutes per visit is missing. ",IF(NOT(ISNUMBER($E64)),"Drive minutes per visit must be a number. ",IF($E64&lt;0,"Drive minutes per visit can't be negative. ",IF(ROUND($E64,2)&lt;&gt;$E64,"Drive minutes per visit: use up to 2 decimal places. ",IF($E64&gt;600,"Drive minutes per visit: use 600 or less. ","")))))&amp;IF($F64="","Drive miles per visit is missing. ",IF(NOT(ISNUMBER($F64)),"Drive miles per visit must be a number. ",IF($F64&lt;0,"Drive miles per visit can't be negative. ",IF(ROUND($F64,2)&lt;&gt;$F64,"Drive miles per visit: use up to 2 decimal places. ",IF($F64&gt;1000,"Drive miles per visit: use 1,000 or less. ","")))))&amp;IF($G64="","Chemicals per visit is missing. ",IF(NOT(ISNUMBER($G64)),"Chemicals per visit must be a number. ",IF($G64&lt;0,"Chemicals per visit can't be negative. ",IF(ROUND($G64,2)&lt;&gt;$G64,"Chemicals per visit: use up to 2 decimal places. ",IF($G64&gt;9999.99,"Chemicals per visit: use 9,999.99 or less. ","")))))&amp;IF($H64="","Other monthly costs is missing. ",IF(NOT(ISNUMBER($H64)),"Other monthly costs must be a number. ",IF($H64&lt;0,"Other monthly costs can't be negative. ",IF(ROUND($H64,2)&lt;&gt;$H64,"Other monthly costs: use up to 2 decimal places. ",IF($H64&gt;99999.99,"Other monthly costs: use 99,999.99 or less. ","")))))&amp;IF(SettingsOK,"","Settings incomplete.")))</f>
        <v/>
      </c>
      <c r="T64" s="23" t="str">
        <f aca="false">IF(AND($A64="",$B64="",$C64="",$D64="",$E64="",$F64="",$G64="",$H64=""),"",IF(Review!$B$5="Check inputs",IF($R64="Check inputs",ROW(),""),IF($R64="Check inputs",IF(Review!$B$5="All accounts",-2000000000000000+ROW(),""),IF(AND(Review!$B$5="Needs review",$R64="Meets your target"),"",IF($R64="No fee entered",-1000000000000000+ROW(),$N64/$B64+ROW()/1000000000)))))</f>
        <v/>
      </c>
    </row>
    <row r="65" customFormat="false" ht="15" hidden="false" customHeight="false" outlineLevel="0" collapsed="false">
      <c r="A65" s="14"/>
      <c r="B65" s="15"/>
      <c r="C65" s="16"/>
      <c r="D65" s="14"/>
      <c r="E65" s="14"/>
      <c r="F65" s="14"/>
      <c r="G65" s="15"/>
      <c r="H65" s="15"/>
      <c r="I65" s="17" t="str">
        <f aca="false">IF(OR(AND($A65="",$B65="",$C65="",$D65="",$E65="",$F65="",$G65="",$H65=""),NOT($S65="")),"",ROUND($C65*($D65+$E65)/60,4))</f>
        <v/>
      </c>
      <c r="J65" s="18" t="str">
        <f aca="false">IF(OR(AND($A65="",$B65="",$C65="",$D65="",$E65="",$F65="",$G65="",$H65=""),NOT($S65="")),"",ROUND(ROUND($C65*($D65+$E65)/60*$B$5,9),2))</f>
        <v/>
      </c>
      <c r="K65" s="18" t="str">
        <f aca="false">IF(OR(AND($A65="",$B65="",$C65="",$D65="",$E65="",$F65="",$G65="",$H65=""),NOT($S65="")),"",ROUND(ROUND($C65*$F65*$B$6,9),2))</f>
        <v/>
      </c>
      <c r="L65" s="18" t="str">
        <f aca="false">IF(OR(AND($A65="",$B65="",$C65="",$D65="",$E65="",$F65="",$G65="",$H65=""),NOT($S65="")),"",ROUND(ROUND($C65*$G65,9),2))</f>
        <v/>
      </c>
      <c r="M65" s="19" t="str">
        <f aca="false">IF(OR(AND($A65="",$B65="",$C65="",$D65="",$E65="",$F65="",$G65="",$H65=""),NOT($S65="")),"",ROUND($J65+$K65+$L65+$H65,2))</f>
        <v/>
      </c>
      <c r="N65" s="19" t="str">
        <f aca="false">IF(OR(AND($A65="",$B65="",$C65="",$D65="",$E65="",$F65="",$G65="",$H65=""),NOT($S65="")),"",ROUND($B65-$M65,2))</f>
        <v/>
      </c>
      <c r="O65" s="20" t="str">
        <f aca="false">IF(OR(AND($A65="",$B65="",$C65="",$D65="",$E65="",$F65="",$G65="",$H65=""),NOT($S65="")),"",IF($B65=0,"n/a",INT(ROUND($N65/$B65*10000,6))/10000))</f>
        <v/>
      </c>
      <c r="P65" s="18" t="str">
        <f aca="false">IF(OR(AND($A65="",$B65="",$C65="",$D65="",$E65="",$F65="",$G65="",$H65=""),NOT($S65="")),"",ROUNDUP(ROUND($M65*10000/(10000-TargetH),9),2))</f>
        <v/>
      </c>
      <c r="Q65" s="18" t="str">
        <f aca="false">IF(OR(AND($A65="",$B65="",$C65="",$D65="",$E65="",$F65="",$G65="",$H65=""),NOT($S65="")),"",MAX(0,ROUND($P65-$B65,2)))</f>
        <v/>
      </c>
      <c r="R65" s="21" t="str">
        <f aca="false">IF(AND($A65="",$B65="",$C65="",$D65="",$E65="",$F65="",$G65="",$H65=""),"",IF(NOT($S65=""),"Check inputs",IF($B65=0,"No fee entered",IF($N65&lt;0,"Losing money on entered costs",IF(ROUND($N65*100,0)*10000&lt;TargetH*ROUND($B65*100,0),"Below your target","Meets your target")))))</f>
        <v/>
      </c>
      <c r="S65" s="22" t="str">
        <f aca="false">IF(AND($A65="",$B65="",$C65="",$D65="",$E65="",$F65="",$G65="",$H65=""),"",TRIM(IF($A65="","Customer/site label is missing. ","")&amp;IF($B65="","Monthly fee is missing. ",IF(NOT(ISNUMBER($B65)),"Monthly fee must be a number. ",IF($B65&lt;0,"Monthly fee can't be negative. ",IF(ROUND($B65,2)&lt;&gt;$B65,"Monthly fee: use up to 2 decimal places. ",IF($B65&gt;99999.99,"Monthly fee: use 99,999.99 or less. ","")))))&amp;IF($C65="","Visits per month is missing. ",IF(NOT(ISNUMBER($C65)),"Visits per month must be a number. ",IF($C65&lt;0,"Visits per month can't be negative. ",IF(ROUND($C65,3)&lt;&gt;$C65,"Visits per month: use up to 3 decimal places. ",IF($C65=0,"Visits per month must be more than 0. ",IF($C65&gt;31,"Visits per month: use 31 or less. ",""))))))&amp;IF($D65="","Service minutes per visit is missing. ",IF(NOT(ISNUMBER($D65)),"Service minutes per visit must be a number. ",IF($D65&lt;0,"Service minutes per visit can't be negative. ",IF(ROUND($D65,2)&lt;&gt;$D65,"Service minutes per visit: use up to 2 decimal places. ",IF($D65=0,"Service minutes per visit must be more than 0. ",IF($D65&gt;600,"Service minutes per visit: use 600 or less. ",""))))))&amp;IF($E65="","Drive minutes per visit is missing. ",IF(NOT(ISNUMBER($E65)),"Drive minutes per visit must be a number. ",IF($E65&lt;0,"Drive minutes per visit can't be negative. ",IF(ROUND($E65,2)&lt;&gt;$E65,"Drive minutes per visit: use up to 2 decimal places. ",IF($E65&gt;600,"Drive minutes per visit: use 600 or less. ","")))))&amp;IF($F65="","Drive miles per visit is missing. ",IF(NOT(ISNUMBER($F65)),"Drive miles per visit must be a number. ",IF($F65&lt;0,"Drive miles per visit can't be negative. ",IF(ROUND($F65,2)&lt;&gt;$F65,"Drive miles per visit: use up to 2 decimal places. ",IF($F65&gt;1000,"Drive miles per visit: use 1,000 or less. ","")))))&amp;IF($G65="","Chemicals per visit is missing. ",IF(NOT(ISNUMBER($G65)),"Chemicals per visit must be a number. ",IF($G65&lt;0,"Chemicals per visit can't be negative. ",IF(ROUND($G65,2)&lt;&gt;$G65,"Chemicals per visit: use up to 2 decimal places. ",IF($G65&gt;9999.99,"Chemicals per visit: use 9,999.99 or less. ","")))))&amp;IF($H65="","Other monthly costs is missing. ",IF(NOT(ISNUMBER($H65)),"Other monthly costs must be a number. ",IF($H65&lt;0,"Other monthly costs can't be negative. ",IF(ROUND($H65,2)&lt;&gt;$H65,"Other monthly costs: use up to 2 decimal places. ",IF($H65&gt;99999.99,"Other monthly costs: use 99,999.99 or less. ","")))))&amp;IF(SettingsOK,"","Settings incomplete.")))</f>
        <v/>
      </c>
      <c r="T65" s="23" t="str">
        <f aca="false">IF(AND($A65="",$B65="",$C65="",$D65="",$E65="",$F65="",$G65="",$H65=""),"",IF(Review!$B$5="Check inputs",IF($R65="Check inputs",ROW(),""),IF($R65="Check inputs",IF(Review!$B$5="All accounts",-2000000000000000+ROW(),""),IF(AND(Review!$B$5="Needs review",$R65="Meets your target"),"",IF($R65="No fee entered",-1000000000000000+ROW(),$N65/$B65+ROW()/1000000000)))))</f>
        <v/>
      </c>
    </row>
    <row r="66" customFormat="false" ht="15" hidden="false" customHeight="false" outlineLevel="0" collapsed="false">
      <c r="A66" s="14"/>
      <c r="B66" s="15"/>
      <c r="C66" s="16"/>
      <c r="D66" s="14"/>
      <c r="E66" s="14"/>
      <c r="F66" s="14"/>
      <c r="G66" s="15"/>
      <c r="H66" s="15"/>
      <c r="I66" s="17" t="str">
        <f aca="false">IF(OR(AND($A66="",$B66="",$C66="",$D66="",$E66="",$F66="",$G66="",$H66=""),NOT($S66="")),"",ROUND($C66*($D66+$E66)/60,4))</f>
        <v/>
      </c>
      <c r="J66" s="18" t="str">
        <f aca="false">IF(OR(AND($A66="",$B66="",$C66="",$D66="",$E66="",$F66="",$G66="",$H66=""),NOT($S66="")),"",ROUND(ROUND($C66*($D66+$E66)/60*$B$5,9),2))</f>
        <v/>
      </c>
      <c r="K66" s="18" t="str">
        <f aca="false">IF(OR(AND($A66="",$B66="",$C66="",$D66="",$E66="",$F66="",$G66="",$H66=""),NOT($S66="")),"",ROUND(ROUND($C66*$F66*$B$6,9),2))</f>
        <v/>
      </c>
      <c r="L66" s="18" t="str">
        <f aca="false">IF(OR(AND($A66="",$B66="",$C66="",$D66="",$E66="",$F66="",$G66="",$H66=""),NOT($S66="")),"",ROUND(ROUND($C66*$G66,9),2))</f>
        <v/>
      </c>
      <c r="M66" s="19" t="str">
        <f aca="false">IF(OR(AND($A66="",$B66="",$C66="",$D66="",$E66="",$F66="",$G66="",$H66=""),NOT($S66="")),"",ROUND($J66+$K66+$L66+$H66,2))</f>
        <v/>
      </c>
      <c r="N66" s="19" t="str">
        <f aca="false">IF(OR(AND($A66="",$B66="",$C66="",$D66="",$E66="",$F66="",$G66="",$H66=""),NOT($S66="")),"",ROUND($B66-$M66,2))</f>
        <v/>
      </c>
      <c r="O66" s="20" t="str">
        <f aca="false">IF(OR(AND($A66="",$B66="",$C66="",$D66="",$E66="",$F66="",$G66="",$H66=""),NOT($S66="")),"",IF($B66=0,"n/a",INT(ROUND($N66/$B66*10000,6))/10000))</f>
        <v/>
      </c>
      <c r="P66" s="18" t="str">
        <f aca="false">IF(OR(AND($A66="",$B66="",$C66="",$D66="",$E66="",$F66="",$G66="",$H66=""),NOT($S66="")),"",ROUNDUP(ROUND($M66*10000/(10000-TargetH),9),2))</f>
        <v/>
      </c>
      <c r="Q66" s="18" t="str">
        <f aca="false">IF(OR(AND($A66="",$B66="",$C66="",$D66="",$E66="",$F66="",$G66="",$H66=""),NOT($S66="")),"",MAX(0,ROUND($P66-$B66,2)))</f>
        <v/>
      </c>
      <c r="R66" s="21" t="str">
        <f aca="false">IF(AND($A66="",$B66="",$C66="",$D66="",$E66="",$F66="",$G66="",$H66=""),"",IF(NOT($S66=""),"Check inputs",IF($B66=0,"No fee entered",IF($N66&lt;0,"Losing money on entered costs",IF(ROUND($N66*100,0)*10000&lt;TargetH*ROUND($B66*100,0),"Below your target","Meets your target")))))</f>
        <v/>
      </c>
      <c r="S66" s="22" t="str">
        <f aca="false">IF(AND($A66="",$B66="",$C66="",$D66="",$E66="",$F66="",$G66="",$H66=""),"",TRIM(IF($A66="","Customer/site label is missing. ","")&amp;IF($B66="","Monthly fee is missing. ",IF(NOT(ISNUMBER($B66)),"Monthly fee must be a number. ",IF($B66&lt;0,"Monthly fee can't be negative. ",IF(ROUND($B66,2)&lt;&gt;$B66,"Monthly fee: use up to 2 decimal places. ",IF($B66&gt;99999.99,"Monthly fee: use 99,999.99 or less. ","")))))&amp;IF($C66="","Visits per month is missing. ",IF(NOT(ISNUMBER($C66)),"Visits per month must be a number. ",IF($C66&lt;0,"Visits per month can't be negative. ",IF(ROUND($C66,3)&lt;&gt;$C66,"Visits per month: use up to 3 decimal places. ",IF($C66=0,"Visits per month must be more than 0. ",IF($C66&gt;31,"Visits per month: use 31 or less. ",""))))))&amp;IF($D66="","Service minutes per visit is missing. ",IF(NOT(ISNUMBER($D66)),"Service minutes per visit must be a number. ",IF($D66&lt;0,"Service minutes per visit can't be negative. ",IF(ROUND($D66,2)&lt;&gt;$D66,"Service minutes per visit: use up to 2 decimal places. ",IF($D66=0,"Service minutes per visit must be more than 0. ",IF($D66&gt;600,"Service minutes per visit: use 600 or less. ",""))))))&amp;IF($E66="","Drive minutes per visit is missing. ",IF(NOT(ISNUMBER($E66)),"Drive minutes per visit must be a number. ",IF($E66&lt;0,"Drive minutes per visit can't be negative. ",IF(ROUND($E66,2)&lt;&gt;$E66,"Drive minutes per visit: use up to 2 decimal places. ",IF($E66&gt;600,"Drive minutes per visit: use 600 or less. ","")))))&amp;IF($F66="","Drive miles per visit is missing. ",IF(NOT(ISNUMBER($F66)),"Drive miles per visit must be a number. ",IF($F66&lt;0,"Drive miles per visit can't be negative. ",IF(ROUND($F66,2)&lt;&gt;$F66,"Drive miles per visit: use up to 2 decimal places. ",IF($F66&gt;1000,"Drive miles per visit: use 1,000 or less. ","")))))&amp;IF($G66="","Chemicals per visit is missing. ",IF(NOT(ISNUMBER($G66)),"Chemicals per visit must be a number. ",IF($G66&lt;0,"Chemicals per visit can't be negative. ",IF(ROUND($G66,2)&lt;&gt;$G66,"Chemicals per visit: use up to 2 decimal places. ",IF($G66&gt;9999.99,"Chemicals per visit: use 9,999.99 or less. ","")))))&amp;IF($H66="","Other monthly costs is missing. ",IF(NOT(ISNUMBER($H66)),"Other monthly costs must be a number. ",IF($H66&lt;0,"Other monthly costs can't be negative. ",IF(ROUND($H66,2)&lt;&gt;$H66,"Other monthly costs: use up to 2 decimal places. ",IF($H66&gt;99999.99,"Other monthly costs: use 99,999.99 or less. ","")))))&amp;IF(SettingsOK,"","Settings incomplete.")))</f>
        <v/>
      </c>
      <c r="T66" s="23" t="str">
        <f aca="false">IF(AND($A66="",$B66="",$C66="",$D66="",$E66="",$F66="",$G66="",$H66=""),"",IF(Review!$B$5="Check inputs",IF($R66="Check inputs",ROW(),""),IF($R66="Check inputs",IF(Review!$B$5="All accounts",-2000000000000000+ROW(),""),IF(AND(Review!$B$5="Needs review",$R66="Meets your target"),"",IF($R66="No fee entered",-1000000000000000+ROW(),$N66/$B66+ROW()/1000000000)))))</f>
        <v/>
      </c>
    </row>
    <row r="67" customFormat="false" ht="15" hidden="false" customHeight="false" outlineLevel="0" collapsed="false">
      <c r="A67" s="14"/>
      <c r="B67" s="15"/>
      <c r="C67" s="16"/>
      <c r="D67" s="14"/>
      <c r="E67" s="14"/>
      <c r="F67" s="14"/>
      <c r="G67" s="15"/>
      <c r="H67" s="15"/>
      <c r="I67" s="17" t="str">
        <f aca="false">IF(OR(AND($A67="",$B67="",$C67="",$D67="",$E67="",$F67="",$G67="",$H67=""),NOT($S67="")),"",ROUND($C67*($D67+$E67)/60,4))</f>
        <v/>
      </c>
      <c r="J67" s="18" t="str">
        <f aca="false">IF(OR(AND($A67="",$B67="",$C67="",$D67="",$E67="",$F67="",$G67="",$H67=""),NOT($S67="")),"",ROUND(ROUND($C67*($D67+$E67)/60*$B$5,9),2))</f>
        <v/>
      </c>
      <c r="K67" s="18" t="str">
        <f aca="false">IF(OR(AND($A67="",$B67="",$C67="",$D67="",$E67="",$F67="",$G67="",$H67=""),NOT($S67="")),"",ROUND(ROUND($C67*$F67*$B$6,9),2))</f>
        <v/>
      </c>
      <c r="L67" s="18" t="str">
        <f aca="false">IF(OR(AND($A67="",$B67="",$C67="",$D67="",$E67="",$F67="",$G67="",$H67=""),NOT($S67="")),"",ROUND(ROUND($C67*$G67,9),2))</f>
        <v/>
      </c>
      <c r="M67" s="19" t="str">
        <f aca="false">IF(OR(AND($A67="",$B67="",$C67="",$D67="",$E67="",$F67="",$G67="",$H67=""),NOT($S67="")),"",ROUND($J67+$K67+$L67+$H67,2))</f>
        <v/>
      </c>
      <c r="N67" s="19" t="str">
        <f aca="false">IF(OR(AND($A67="",$B67="",$C67="",$D67="",$E67="",$F67="",$G67="",$H67=""),NOT($S67="")),"",ROUND($B67-$M67,2))</f>
        <v/>
      </c>
      <c r="O67" s="20" t="str">
        <f aca="false">IF(OR(AND($A67="",$B67="",$C67="",$D67="",$E67="",$F67="",$G67="",$H67=""),NOT($S67="")),"",IF($B67=0,"n/a",INT(ROUND($N67/$B67*10000,6))/10000))</f>
        <v/>
      </c>
      <c r="P67" s="18" t="str">
        <f aca="false">IF(OR(AND($A67="",$B67="",$C67="",$D67="",$E67="",$F67="",$G67="",$H67=""),NOT($S67="")),"",ROUNDUP(ROUND($M67*10000/(10000-TargetH),9),2))</f>
        <v/>
      </c>
      <c r="Q67" s="18" t="str">
        <f aca="false">IF(OR(AND($A67="",$B67="",$C67="",$D67="",$E67="",$F67="",$G67="",$H67=""),NOT($S67="")),"",MAX(0,ROUND($P67-$B67,2)))</f>
        <v/>
      </c>
      <c r="R67" s="21" t="str">
        <f aca="false">IF(AND($A67="",$B67="",$C67="",$D67="",$E67="",$F67="",$G67="",$H67=""),"",IF(NOT($S67=""),"Check inputs",IF($B67=0,"No fee entered",IF($N67&lt;0,"Losing money on entered costs",IF(ROUND($N67*100,0)*10000&lt;TargetH*ROUND($B67*100,0),"Below your target","Meets your target")))))</f>
        <v/>
      </c>
      <c r="S67" s="22" t="str">
        <f aca="false">IF(AND($A67="",$B67="",$C67="",$D67="",$E67="",$F67="",$G67="",$H67=""),"",TRIM(IF($A67="","Customer/site label is missing. ","")&amp;IF($B67="","Monthly fee is missing. ",IF(NOT(ISNUMBER($B67)),"Monthly fee must be a number. ",IF($B67&lt;0,"Monthly fee can't be negative. ",IF(ROUND($B67,2)&lt;&gt;$B67,"Monthly fee: use up to 2 decimal places. ",IF($B67&gt;99999.99,"Monthly fee: use 99,999.99 or less. ","")))))&amp;IF($C67="","Visits per month is missing. ",IF(NOT(ISNUMBER($C67)),"Visits per month must be a number. ",IF($C67&lt;0,"Visits per month can't be negative. ",IF(ROUND($C67,3)&lt;&gt;$C67,"Visits per month: use up to 3 decimal places. ",IF($C67=0,"Visits per month must be more than 0. ",IF($C67&gt;31,"Visits per month: use 31 or less. ",""))))))&amp;IF($D67="","Service minutes per visit is missing. ",IF(NOT(ISNUMBER($D67)),"Service minutes per visit must be a number. ",IF($D67&lt;0,"Service minutes per visit can't be negative. ",IF(ROUND($D67,2)&lt;&gt;$D67,"Service minutes per visit: use up to 2 decimal places. ",IF($D67=0,"Service minutes per visit must be more than 0. ",IF($D67&gt;600,"Service minutes per visit: use 600 or less. ",""))))))&amp;IF($E67="","Drive minutes per visit is missing. ",IF(NOT(ISNUMBER($E67)),"Drive minutes per visit must be a number. ",IF($E67&lt;0,"Drive minutes per visit can't be negative. ",IF(ROUND($E67,2)&lt;&gt;$E67,"Drive minutes per visit: use up to 2 decimal places. ",IF($E67&gt;600,"Drive minutes per visit: use 600 or less. ","")))))&amp;IF($F67="","Drive miles per visit is missing. ",IF(NOT(ISNUMBER($F67)),"Drive miles per visit must be a number. ",IF($F67&lt;0,"Drive miles per visit can't be negative. ",IF(ROUND($F67,2)&lt;&gt;$F67,"Drive miles per visit: use up to 2 decimal places. ",IF($F67&gt;1000,"Drive miles per visit: use 1,000 or less. ","")))))&amp;IF($G67="","Chemicals per visit is missing. ",IF(NOT(ISNUMBER($G67)),"Chemicals per visit must be a number. ",IF($G67&lt;0,"Chemicals per visit can't be negative. ",IF(ROUND($G67,2)&lt;&gt;$G67,"Chemicals per visit: use up to 2 decimal places. ",IF($G67&gt;9999.99,"Chemicals per visit: use 9,999.99 or less. ","")))))&amp;IF($H67="","Other monthly costs is missing. ",IF(NOT(ISNUMBER($H67)),"Other monthly costs must be a number. ",IF($H67&lt;0,"Other monthly costs can't be negative. ",IF(ROUND($H67,2)&lt;&gt;$H67,"Other monthly costs: use up to 2 decimal places. ",IF($H67&gt;99999.99,"Other monthly costs: use 99,999.99 or less. ","")))))&amp;IF(SettingsOK,"","Settings incomplete.")))</f>
        <v/>
      </c>
      <c r="T67" s="23" t="str">
        <f aca="false">IF(AND($A67="",$B67="",$C67="",$D67="",$E67="",$F67="",$G67="",$H67=""),"",IF(Review!$B$5="Check inputs",IF($R67="Check inputs",ROW(),""),IF($R67="Check inputs",IF(Review!$B$5="All accounts",-2000000000000000+ROW(),""),IF(AND(Review!$B$5="Needs review",$R67="Meets your target"),"",IF($R67="No fee entered",-1000000000000000+ROW(),$N67/$B67+ROW()/1000000000)))))</f>
        <v/>
      </c>
    </row>
    <row r="68" customFormat="false" ht="15" hidden="false" customHeight="false" outlineLevel="0" collapsed="false">
      <c r="A68" s="14"/>
      <c r="B68" s="15"/>
      <c r="C68" s="16"/>
      <c r="D68" s="14"/>
      <c r="E68" s="14"/>
      <c r="F68" s="14"/>
      <c r="G68" s="15"/>
      <c r="H68" s="15"/>
      <c r="I68" s="17" t="str">
        <f aca="false">IF(OR(AND($A68="",$B68="",$C68="",$D68="",$E68="",$F68="",$G68="",$H68=""),NOT($S68="")),"",ROUND($C68*($D68+$E68)/60,4))</f>
        <v/>
      </c>
      <c r="J68" s="18" t="str">
        <f aca="false">IF(OR(AND($A68="",$B68="",$C68="",$D68="",$E68="",$F68="",$G68="",$H68=""),NOT($S68="")),"",ROUND(ROUND($C68*($D68+$E68)/60*$B$5,9),2))</f>
        <v/>
      </c>
      <c r="K68" s="18" t="str">
        <f aca="false">IF(OR(AND($A68="",$B68="",$C68="",$D68="",$E68="",$F68="",$G68="",$H68=""),NOT($S68="")),"",ROUND(ROUND($C68*$F68*$B$6,9),2))</f>
        <v/>
      </c>
      <c r="L68" s="18" t="str">
        <f aca="false">IF(OR(AND($A68="",$B68="",$C68="",$D68="",$E68="",$F68="",$G68="",$H68=""),NOT($S68="")),"",ROUND(ROUND($C68*$G68,9),2))</f>
        <v/>
      </c>
      <c r="M68" s="19" t="str">
        <f aca="false">IF(OR(AND($A68="",$B68="",$C68="",$D68="",$E68="",$F68="",$G68="",$H68=""),NOT($S68="")),"",ROUND($J68+$K68+$L68+$H68,2))</f>
        <v/>
      </c>
      <c r="N68" s="19" t="str">
        <f aca="false">IF(OR(AND($A68="",$B68="",$C68="",$D68="",$E68="",$F68="",$G68="",$H68=""),NOT($S68="")),"",ROUND($B68-$M68,2))</f>
        <v/>
      </c>
      <c r="O68" s="20" t="str">
        <f aca="false">IF(OR(AND($A68="",$B68="",$C68="",$D68="",$E68="",$F68="",$G68="",$H68=""),NOT($S68="")),"",IF($B68=0,"n/a",INT(ROUND($N68/$B68*10000,6))/10000))</f>
        <v/>
      </c>
      <c r="P68" s="18" t="str">
        <f aca="false">IF(OR(AND($A68="",$B68="",$C68="",$D68="",$E68="",$F68="",$G68="",$H68=""),NOT($S68="")),"",ROUNDUP(ROUND($M68*10000/(10000-TargetH),9),2))</f>
        <v/>
      </c>
      <c r="Q68" s="18" t="str">
        <f aca="false">IF(OR(AND($A68="",$B68="",$C68="",$D68="",$E68="",$F68="",$G68="",$H68=""),NOT($S68="")),"",MAX(0,ROUND($P68-$B68,2)))</f>
        <v/>
      </c>
      <c r="R68" s="21" t="str">
        <f aca="false">IF(AND($A68="",$B68="",$C68="",$D68="",$E68="",$F68="",$G68="",$H68=""),"",IF(NOT($S68=""),"Check inputs",IF($B68=0,"No fee entered",IF($N68&lt;0,"Losing money on entered costs",IF(ROUND($N68*100,0)*10000&lt;TargetH*ROUND($B68*100,0),"Below your target","Meets your target")))))</f>
        <v/>
      </c>
      <c r="S68" s="22" t="str">
        <f aca="false">IF(AND($A68="",$B68="",$C68="",$D68="",$E68="",$F68="",$G68="",$H68=""),"",TRIM(IF($A68="","Customer/site label is missing. ","")&amp;IF($B68="","Monthly fee is missing. ",IF(NOT(ISNUMBER($B68)),"Monthly fee must be a number. ",IF($B68&lt;0,"Monthly fee can't be negative. ",IF(ROUND($B68,2)&lt;&gt;$B68,"Monthly fee: use up to 2 decimal places. ",IF($B68&gt;99999.99,"Monthly fee: use 99,999.99 or less. ","")))))&amp;IF($C68="","Visits per month is missing. ",IF(NOT(ISNUMBER($C68)),"Visits per month must be a number. ",IF($C68&lt;0,"Visits per month can't be negative. ",IF(ROUND($C68,3)&lt;&gt;$C68,"Visits per month: use up to 3 decimal places. ",IF($C68=0,"Visits per month must be more than 0. ",IF($C68&gt;31,"Visits per month: use 31 or less. ",""))))))&amp;IF($D68="","Service minutes per visit is missing. ",IF(NOT(ISNUMBER($D68)),"Service minutes per visit must be a number. ",IF($D68&lt;0,"Service minutes per visit can't be negative. ",IF(ROUND($D68,2)&lt;&gt;$D68,"Service minutes per visit: use up to 2 decimal places. ",IF($D68=0,"Service minutes per visit must be more than 0. ",IF($D68&gt;600,"Service minutes per visit: use 600 or less. ",""))))))&amp;IF($E68="","Drive minutes per visit is missing. ",IF(NOT(ISNUMBER($E68)),"Drive minutes per visit must be a number. ",IF($E68&lt;0,"Drive minutes per visit can't be negative. ",IF(ROUND($E68,2)&lt;&gt;$E68,"Drive minutes per visit: use up to 2 decimal places. ",IF($E68&gt;600,"Drive minutes per visit: use 600 or less. ","")))))&amp;IF($F68="","Drive miles per visit is missing. ",IF(NOT(ISNUMBER($F68)),"Drive miles per visit must be a number. ",IF($F68&lt;0,"Drive miles per visit can't be negative. ",IF(ROUND($F68,2)&lt;&gt;$F68,"Drive miles per visit: use up to 2 decimal places. ",IF($F68&gt;1000,"Drive miles per visit: use 1,000 or less. ","")))))&amp;IF($G68="","Chemicals per visit is missing. ",IF(NOT(ISNUMBER($G68)),"Chemicals per visit must be a number. ",IF($G68&lt;0,"Chemicals per visit can't be negative. ",IF(ROUND($G68,2)&lt;&gt;$G68,"Chemicals per visit: use up to 2 decimal places. ",IF($G68&gt;9999.99,"Chemicals per visit: use 9,999.99 or less. ","")))))&amp;IF($H68="","Other monthly costs is missing. ",IF(NOT(ISNUMBER($H68)),"Other monthly costs must be a number. ",IF($H68&lt;0,"Other monthly costs can't be negative. ",IF(ROUND($H68,2)&lt;&gt;$H68,"Other monthly costs: use up to 2 decimal places. ",IF($H68&gt;99999.99,"Other monthly costs: use 99,999.99 or less. ","")))))&amp;IF(SettingsOK,"","Settings incomplete.")))</f>
        <v/>
      </c>
      <c r="T68" s="23" t="str">
        <f aca="false">IF(AND($A68="",$B68="",$C68="",$D68="",$E68="",$F68="",$G68="",$H68=""),"",IF(Review!$B$5="Check inputs",IF($R68="Check inputs",ROW(),""),IF($R68="Check inputs",IF(Review!$B$5="All accounts",-2000000000000000+ROW(),""),IF(AND(Review!$B$5="Needs review",$R68="Meets your target"),"",IF($R68="No fee entered",-1000000000000000+ROW(),$N68/$B68+ROW()/1000000000)))))</f>
        <v/>
      </c>
    </row>
    <row r="69" customFormat="false" ht="15" hidden="false" customHeight="false" outlineLevel="0" collapsed="false">
      <c r="A69" s="14"/>
      <c r="B69" s="15"/>
      <c r="C69" s="16"/>
      <c r="D69" s="14"/>
      <c r="E69" s="14"/>
      <c r="F69" s="14"/>
      <c r="G69" s="15"/>
      <c r="H69" s="15"/>
      <c r="I69" s="17" t="str">
        <f aca="false">IF(OR(AND($A69="",$B69="",$C69="",$D69="",$E69="",$F69="",$G69="",$H69=""),NOT($S69="")),"",ROUND($C69*($D69+$E69)/60,4))</f>
        <v/>
      </c>
      <c r="J69" s="18" t="str">
        <f aca="false">IF(OR(AND($A69="",$B69="",$C69="",$D69="",$E69="",$F69="",$G69="",$H69=""),NOT($S69="")),"",ROUND(ROUND($C69*($D69+$E69)/60*$B$5,9),2))</f>
        <v/>
      </c>
      <c r="K69" s="18" t="str">
        <f aca="false">IF(OR(AND($A69="",$B69="",$C69="",$D69="",$E69="",$F69="",$G69="",$H69=""),NOT($S69="")),"",ROUND(ROUND($C69*$F69*$B$6,9),2))</f>
        <v/>
      </c>
      <c r="L69" s="18" t="str">
        <f aca="false">IF(OR(AND($A69="",$B69="",$C69="",$D69="",$E69="",$F69="",$G69="",$H69=""),NOT($S69="")),"",ROUND(ROUND($C69*$G69,9),2))</f>
        <v/>
      </c>
      <c r="M69" s="19" t="str">
        <f aca="false">IF(OR(AND($A69="",$B69="",$C69="",$D69="",$E69="",$F69="",$G69="",$H69=""),NOT($S69="")),"",ROUND($J69+$K69+$L69+$H69,2))</f>
        <v/>
      </c>
      <c r="N69" s="19" t="str">
        <f aca="false">IF(OR(AND($A69="",$B69="",$C69="",$D69="",$E69="",$F69="",$G69="",$H69=""),NOT($S69="")),"",ROUND($B69-$M69,2))</f>
        <v/>
      </c>
      <c r="O69" s="20" t="str">
        <f aca="false">IF(OR(AND($A69="",$B69="",$C69="",$D69="",$E69="",$F69="",$G69="",$H69=""),NOT($S69="")),"",IF($B69=0,"n/a",INT(ROUND($N69/$B69*10000,6))/10000))</f>
        <v/>
      </c>
      <c r="P69" s="18" t="str">
        <f aca="false">IF(OR(AND($A69="",$B69="",$C69="",$D69="",$E69="",$F69="",$G69="",$H69=""),NOT($S69="")),"",ROUNDUP(ROUND($M69*10000/(10000-TargetH),9),2))</f>
        <v/>
      </c>
      <c r="Q69" s="18" t="str">
        <f aca="false">IF(OR(AND($A69="",$B69="",$C69="",$D69="",$E69="",$F69="",$G69="",$H69=""),NOT($S69="")),"",MAX(0,ROUND($P69-$B69,2)))</f>
        <v/>
      </c>
      <c r="R69" s="21" t="str">
        <f aca="false">IF(AND($A69="",$B69="",$C69="",$D69="",$E69="",$F69="",$G69="",$H69=""),"",IF(NOT($S69=""),"Check inputs",IF($B69=0,"No fee entered",IF($N69&lt;0,"Losing money on entered costs",IF(ROUND($N69*100,0)*10000&lt;TargetH*ROUND($B69*100,0),"Below your target","Meets your target")))))</f>
        <v/>
      </c>
      <c r="S69" s="22" t="str">
        <f aca="false">IF(AND($A69="",$B69="",$C69="",$D69="",$E69="",$F69="",$G69="",$H69=""),"",TRIM(IF($A69="","Customer/site label is missing. ","")&amp;IF($B69="","Monthly fee is missing. ",IF(NOT(ISNUMBER($B69)),"Monthly fee must be a number. ",IF($B69&lt;0,"Monthly fee can't be negative. ",IF(ROUND($B69,2)&lt;&gt;$B69,"Monthly fee: use up to 2 decimal places. ",IF($B69&gt;99999.99,"Monthly fee: use 99,999.99 or less. ","")))))&amp;IF($C69="","Visits per month is missing. ",IF(NOT(ISNUMBER($C69)),"Visits per month must be a number. ",IF($C69&lt;0,"Visits per month can't be negative. ",IF(ROUND($C69,3)&lt;&gt;$C69,"Visits per month: use up to 3 decimal places. ",IF($C69=0,"Visits per month must be more than 0. ",IF($C69&gt;31,"Visits per month: use 31 or less. ",""))))))&amp;IF($D69="","Service minutes per visit is missing. ",IF(NOT(ISNUMBER($D69)),"Service minutes per visit must be a number. ",IF($D69&lt;0,"Service minutes per visit can't be negative. ",IF(ROUND($D69,2)&lt;&gt;$D69,"Service minutes per visit: use up to 2 decimal places. ",IF($D69=0,"Service minutes per visit must be more than 0. ",IF($D69&gt;600,"Service minutes per visit: use 600 or less. ",""))))))&amp;IF($E69="","Drive minutes per visit is missing. ",IF(NOT(ISNUMBER($E69)),"Drive minutes per visit must be a number. ",IF($E69&lt;0,"Drive minutes per visit can't be negative. ",IF(ROUND($E69,2)&lt;&gt;$E69,"Drive minutes per visit: use up to 2 decimal places. ",IF($E69&gt;600,"Drive minutes per visit: use 600 or less. ","")))))&amp;IF($F69="","Drive miles per visit is missing. ",IF(NOT(ISNUMBER($F69)),"Drive miles per visit must be a number. ",IF($F69&lt;0,"Drive miles per visit can't be negative. ",IF(ROUND($F69,2)&lt;&gt;$F69,"Drive miles per visit: use up to 2 decimal places. ",IF($F69&gt;1000,"Drive miles per visit: use 1,000 or less. ","")))))&amp;IF($G69="","Chemicals per visit is missing. ",IF(NOT(ISNUMBER($G69)),"Chemicals per visit must be a number. ",IF($G69&lt;0,"Chemicals per visit can't be negative. ",IF(ROUND($G69,2)&lt;&gt;$G69,"Chemicals per visit: use up to 2 decimal places. ",IF($G69&gt;9999.99,"Chemicals per visit: use 9,999.99 or less. ","")))))&amp;IF($H69="","Other monthly costs is missing. ",IF(NOT(ISNUMBER($H69)),"Other monthly costs must be a number. ",IF($H69&lt;0,"Other monthly costs can't be negative. ",IF(ROUND($H69,2)&lt;&gt;$H69,"Other monthly costs: use up to 2 decimal places. ",IF($H69&gt;99999.99,"Other monthly costs: use 99,999.99 or less. ","")))))&amp;IF(SettingsOK,"","Settings incomplete.")))</f>
        <v/>
      </c>
      <c r="T69" s="23" t="str">
        <f aca="false">IF(AND($A69="",$B69="",$C69="",$D69="",$E69="",$F69="",$G69="",$H69=""),"",IF(Review!$B$5="Check inputs",IF($R69="Check inputs",ROW(),""),IF($R69="Check inputs",IF(Review!$B$5="All accounts",-2000000000000000+ROW(),""),IF(AND(Review!$B$5="Needs review",$R69="Meets your target"),"",IF($R69="No fee entered",-1000000000000000+ROW(),$N69/$B69+ROW()/1000000000)))))</f>
        <v/>
      </c>
    </row>
    <row r="70" customFormat="false" ht="15" hidden="false" customHeight="false" outlineLevel="0" collapsed="false">
      <c r="A70" s="14"/>
      <c r="B70" s="15"/>
      <c r="C70" s="16"/>
      <c r="D70" s="14"/>
      <c r="E70" s="14"/>
      <c r="F70" s="14"/>
      <c r="G70" s="15"/>
      <c r="H70" s="15"/>
      <c r="I70" s="17" t="str">
        <f aca="false">IF(OR(AND($A70="",$B70="",$C70="",$D70="",$E70="",$F70="",$G70="",$H70=""),NOT($S70="")),"",ROUND($C70*($D70+$E70)/60,4))</f>
        <v/>
      </c>
      <c r="J70" s="18" t="str">
        <f aca="false">IF(OR(AND($A70="",$B70="",$C70="",$D70="",$E70="",$F70="",$G70="",$H70=""),NOT($S70="")),"",ROUND(ROUND($C70*($D70+$E70)/60*$B$5,9),2))</f>
        <v/>
      </c>
      <c r="K70" s="18" t="str">
        <f aca="false">IF(OR(AND($A70="",$B70="",$C70="",$D70="",$E70="",$F70="",$G70="",$H70=""),NOT($S70="")),"",ROUND(ROUND($C70*$F70*$B$6,9),2))</f>
        <v/>
      </c>
      <c r="L70" s="18" t="str">
        <f aca="false">IF(OR(AND($A70="",$B70="",$C70="",$D70="",$E70="",$F70="",$G70="",$H70=""),NOT($S70="")),"",ROUND(ROUND($C70*$G70,9),2))</f>
        <v/>
      </c>
      <c r="M70" s="19" t="str">
        <f aca="false">IF(OR(AND($A70="",$B70="",$C70="",$D70="",$E70="",$F70="",$G70="",$H70=""),NOT($S70="")),"",ROUND($J70+$K70+$L70+$H70,2))</f>
        <v/>
      </c>
      <c r="N70" s="19" t="str">
        <f aca="false">IF(OR(AND($A70="",$B70="",$C70="",$D70="",$E70="",$F70="",$G70="",$H70=""),NOT($S70="")),"",ROUND($B70-$M70,2))</f>
        <v/>
      </c>
      <c r="O70" s="20" t="str">
        <f aca="false">IF(OR(AND($A70="",$B70="",$C70="",$D70="",$E70="",$F70="",$G70="",$H70=""),NOT($S70="")),"",IF($B70=0,"n/a",INT(ROUND($N70/$B70*10000,6))/10000))</f>
        <v/>
      </c>
      <c r="P70" s="18" t="str">
        <f aca="false">IF(OR(AND($A70="",$B70="",$C70="",$D70="",$E70="",$F70="",$G70="",$H70=""),NOT($S70="")),"",ROUNDUP(ROUND($M70*10000/(10000-TargetH),9),2))</f>
        <v/>
      </c>
      <c r="Q70" s="18" t="str">
        <f aca="false">IF(OR(AND($A70="",$B70="",$C70="",$D70="",$E70="",$F70="",$G70="",$H70=""),NOT($S70="")),"",MAX(0,ROUND($P70-$B70,2)))</f>
        <v/>
      </c>
      <c r="R70" s="21" t="str">
        <f aca="false">IF(AND($A70="",$B70="",$C70="",$D70="",$E70="",$F70="",$G70="",$H70=""),"",IF(NOT($S70=""),"Check inputs",IF($B70=0,"No fee entered",IF($N70&lt;0,"Losing money on entered costs",IF(ROUND($N70*100,0)*10000&lt;TargetH*ROUND($B70*100,0),"Below your target","Meets your target")))))</f>
        <v/>
      </c>
      <c r="S70" s="22" t="str">
        <f aca="false">IF(AND($A70="",$B70="",$C70="",$D70="",$E70="",$F70="",$G70="",$H70=""),"",TRIM(IF($A70="","Customer/site label is missing. ","")&amp;IF($B70="","Monthly fee is missing. ",IF(NOT(ISNUMBER($B70)),"Monthly fee must be a number. ",IF($B70&lt;0,"Monthly fee can't be negative. ",IF(ROUND($B70,2)&lt;&gt;$B70,"Monthly fee: use up to 2 decimal places. ",IF($B70&gt;99999.99,"Monthly fee: use 99,999.99 or less. ","")))))&amp;IF($C70="","Visits per month is missing. ",IF(NOT(ISNUMBER($C70)),"Visits per month must be a number. ",IF($C70&lt;0,"Visits per month can't be negative. ",IF(ROUND($C70,3)&lt;&gt;$C70,"Visits per month: use up to 3 decimal places. ",IF($C70=0,"Visits per month must be more than 0. ",IF($C70&gt;31,"Visits per month: use 31 or less. ",""))))))&amp;IF($D70="","Service minutes per visit is missing. ",IF(NOT(ISNUMBER($D70)),"Service minutes per visit must be a number. ",IF($D70&lt;0,"Service minutes per visit can't be negative. ",IF(ROUND($D70,2)&lt;&gt;$D70,"Service minutes per visit: use up to 2 decimal places. ",IF($D70=0,"Service minutes per visit must be more than 0. ",IF($D70&gt;600,"Service minutes per visit: use 600 or less. ",""))))))&amp;IF($E70="","Drive minutes per visit is missing. ",IF(NOT(ISNUMBER($E70)),"Drive minutes per visit must be a number. ",IF($E70&lt;0,"Drive minutes per visit can't be negative. ",IF(ROUND($E70,2)&lt;&gt;$E70,"Drive minutes per visit: use up to 2 decimal places. ",IF($E70&gt;600,"Drive minutes per visit: use 600 or less. ","")))))&amp;IF($F70="","Drive miles per visit is missing. ",IF(NOT(ISNUMBER($F70)),"Drive miles per visit must be a number. ",IF($F70&lt;0,"Drive miles per visit can't be negative. ",IF(ROUND($F70,2)&lt;&gt;$F70,"Drive miles per visit: use up to 2 decimal places. ",IF($F70&gt;1000,"Drive miles per visit: use 1,000 or less. ","")))))&amp;IF($G70="","Chemicals per visit is missing. ",IF(NOT(ISNUMBER($G70)),"Chemicals per visit must be a number. ",IF($G70&lt;0,"Chemicals per visit can't be negative. ",IF(ROUND($G70,2)&lt;&gt;$G70,"Chemicals per visit: use up to 2 decimal places. ",IF($G70&gt;9999.99,"Chemicals per visit: use 9,999.99 or less. ","")))))&amp;IF($H70="","Other monthly costs is missing. ",IF(NOT(ISNUMBER($H70)),"Other monthly costs must be a number. ",IF($H70&lt;0,"Other monthly costs can't be negative. ",IF(ROUND($H70,2)&lt;&gt;$H70,"Other monthly costs: use up to 2 decimal places. ",IF($H70&gt;99999.99,"Other monthly costs: use 99,999.99 or less. ","")))))&amp;IF(SettingsOK,"","Settings incomplete.")))</f>
        <v/>
      </c>
      <c r="T70" s="23" t="str">
        <f aca="false">IF(AND($A70="",$B70="",$C70="",$D70="",$E70="",$F70="",$G70="",$H70=""),"",IF(Review!$B$5="Check inputs",IF($R70="Check inputs",ROW(),""),IF($R70="Check inputs",IF(Review!$B$5="All accounts",-2000000000000000+ROW(),""),IF(AND(Review!$B$5="Needs review",$R70="Meets your target"),"",IF($R70="No fee entered",-1000000000000000+ROW(),$N70/$B70+ROW()/1000000000)))))</f>
        <v/>
      </c>
    </row>
    <row r="71" customFormat="false" ht="15" hidden="false" customHeight="false" outlineLevel="0" collapsed="false">
      <c r="A71" s="14"/>
      <c r="B71" s="15"/>
      <c r="C71" s="16"/>
      <c r="D71" s="14"/>
      <c r="E71" s="14"/>
      <c r="F71" s="14"/>
      <c r="G71" s="15"/>
      <c r="H71" s="15"/>
      <c r="I71" s="17" t="str">
        <f aca="false">IF(OR(AND($A71="",$B71="",$C71="",$D71="",$E71="",$F71="",$G71="",$H71=""),NOT($S71="")),"",ROUND($C71*($D71+$E71)/60,4))</f>
        <v/>
      </c>
      <c r="J71" s="18" t="str">
        <f aca="false">IF(OR(AND($A71="",$B71="",$C71="",$D71="",$E71="",$F71="",$G71="",$H71=""),NOT($S71="")),"",ROUND(ROUND($C71*($D71+$E71)/60*$B$5,9),2))</f>
        <v/>
      </c>
      <c r="K71" s="18" t="str">
        <f aca="false">IF(OR(AND($A71="",$B71="",$C71="",$D71="",$E71="",$F71="",$G71="",$H71=""),NOT($S71="")),"",ROUND(ROUND($C71*$F71*$B$6,9),2))</f>
        <v/>
      </c>
      <c r="L71" s="18" t="str">
        <f aca="false">IF(OR(AND($A71="",$B71="",$C71="",$D71="",$E71="",$F71="",$G71="",$H71=""),NOT($S71="")),"",ROUND(ROUND($C71*$G71,9),2))</f>
        <v/>
      </c>
      <c r="M71" s="19" t="str">
        <f aca="false">IF(OR(AND($A71="",$B71="",$C71="",$D71="",$E71="",$F71="",$G71="",$H71=""),NOT($S71="")),"",ROUND($J71+$K71+$L71+$H71,2))</f>
        <v/>
      </c>
      <c r="N71" s="19" t="str">
        <f aca="false">IF(OR(AND($A71="",$B71="",$C71="",$D71="",$E71="",$F71="",$G71="",$H71=""),NOT($S71="")),"",ROUND($B71-$M71,2))</f>
        <v/>
      </c>
      <c r="O71" s="20" t="str">
        <f aca="false">IF(OR(AND($A71="",$B71="",$C71="",$D71="",$E71="",$F71="",$G71="",$H71=""),NOT($S71="")),"",IF($B71=0,"n/a",INT(ROUND($N71/$B71*10000,6))/10000))</f>
        <v/>
      </c>
      <c r="P71" s="18" t="str">
        <f aca="false">IF(OR(AND($A71="",$B71="",$C71="",$D71="",$E71="",$F71="",$G71="",$H71=""),NOT($S71="")),"",ROUNDUP(ROUND($M71*10000/(10000-TargetH),9),2))</f>
        <v/>
      </c>
      <c r="Q71" s="18" t="str">
        <f aca="false">IF(OR(AND($A71="",$B71="",$C71="",$D71="",$E71="",$F71="",$G71="",$H71=""),NOT($S71="")),"",MAX(0,ROUND($P71-$B71,2)))</f>
        <v/>
      </c>
      <c r="R71" s="21" t="str">
        <f aca="false">IF(AND($A71="",$B71="",$C71="",$D71="",$E71="",$F71="",$G71="",$H71=""),"",IF(NOT($S71=""),"Check inputs",IF($B71=0,"No fee entered",IF($N71&lt;0,"Losing money on entered costs",IF(ROUND($N71*100,0)*10000&lt;TargetH*ROUND($B71*100,0),"Below your target","Meets your target")))))</f>
        <v/>
      </c>
      <c r="S71" s="22" t="str">
        <f aca="false">IF(AND($A71="",$B71="",$C71="",$D71="",$E71="",$F71="",$G71="",$H71=""),"",TRIM(IF($A71="","Customer/site label is missing. ","")&amp;IF($B71="","Monthly fee is missing. ",IF(NOT(ISNUMBER($B71)),"Monthly fee must be a number. ",IF($B71&lt;0,"Monthly fee can't be negative. ",IF(ROUND($B71,2)&lt;&gt;$B71,"Monthly fee: use up to 2 decimal places. ",IF($B71&gt;99999.99,"Monthly fee: use 99,999.99 or less. ","")))))&amp;IF($C71="","Visits per month is missing. ",IF(NOT(ISNUMBER($C71)),"Visits per month must be a number. ",IF($C71&lt;0,"Visits per month can't be negative. ",IF(ROUND($C71,3)&lt;&gt;$C71,"Visits per month: use up to 3 decimal places. ",IF($C71=0,"Visits per month must be more than 0. ",IF($C71&gt;31,"Visits per month: use 31 or less. ",""))))))&amp;IF($D71="","Service minutes per visit is missing. ",IF(NOT(ISNUMBER($D71)),"Service minutes per visit must be a number. ",IF($D71&lt;0,"Service minutes per visit can't be negative. ",IF(ROUND($D71,2)&lt;&gt;$D71,"Service minutes per visit: use up to 2 decimal places. ",IF($D71=0,"Service minutes per visit must be more than 0. ",IF($D71&gt;600,"Service minutes per visit: use 600 or less. ",""))))))&amp;IF($E71="","Drive minutes per visit is missing. ",IF(NOT(ISNUMBER($E71)),"Drive minutes per visit must be a number. ",IF($E71&lt;0,"Drive minutes per visit can't be negative. ",IF(ROUND($E71,2)&lt;&gt;$E71,"Drive minutes per visit: use up to 2 decimal places. ",IF($E71&gt;600,"Drive minutes per visit: use 600 or less. ","")))))&amp;IF($F71="","Drive miles per visit is missing. ",IF(NOT(ISNUMBER($F71)),"Drive miles per visit must be a number. ",IF($F71&lt;0,"Drive miles per visit can't be negative. ",IF(ROUND($F71,2)&lt;&gt;$F71,"Drive miles per visit: use up to 2 decimal places. ",IF($F71&gt;1000,"Drive miles per visit: use 1,000 or less. ","")))))&amp;IF($G71="","Chemicals per visit is missing. ",IF(NOT(ISNUMBER($G71)),"Chemicals per visit must be a number. ",IF($G71&lt;0,"Chemicals per visit can't be negative. ",IF(ROUND($G71,2)&lt;&gt;$G71,"Chemicals per visit: use up to 2 decimal places. ",IF($G71&gt;9999.99,"Chemicals per visit: use 9,999.99 or less. ","")))))&amp;IF($H71="","Other monthly costs is missing. ",IF(NOT(ISNUMBER($H71)),"Other monthly costs must be a number. ",IF($H71&lt;0,"Other monthly costs can't be negative. ",IF(ROUND($H71,2)&lt;&gt;$H71,"Other monthly costs: use up to 2 decimal places. ",IF($H71&gt;99999.99,"Other monthly costs: use 99,999.99 or less. ","")))))&amp;IF(SettingsOK,"","Settings incomplete.")))</f>
        <v/>
      </c>
      <c r="T71" s="23" t="str">
        <f aca="false">IF(AND($A71="",$B71="",$C71="",$D71="",$E71="",$F71="",$G71="",$H71=""),"",IF(Review!$B$5="Check inputs",IF($R71="Check inputs",ROW(),""),IF($R71="Check inputs",IF(Review!$B$5="All accounts",-2000000000000000+ROW(),""),IF(AND(Review!$B$5="Needs review",$R71="Meets your target"),"",IF($R71="No fee entered",-1000000000000000+ROW(),$N71/$B71+ROW()/1000000000)))))</f>
        <v/>
      </c>
    </row>
    <row r="72" customFormat="false" ht="15" hidden="false" customHeight="false" outlineLevel="0" collapsed="false">
      <c r="A72" s="14"/>
      <c r="B72" s="15"/>
      <c r="C72" s="16"/>
      <c r="D72" s="14"/>
      <c r="E72" s="14"/>
      <c r="F72" s="14"/>
      <c r="G72" s="15"/>
      <c r="H72" s="15"/>
      <c r="I72" s="17" t="str">
        <f aca="false">IF(OR(AND($A72="",$B72="",$C72="",$D72="",$E72="",$F72="",$G72="",$H72=""),NOT($S72="")),"",ROUND($C72*($D72+$E72)/60,4))</f>
        <v/>
      </c>
      <c r="J72" s="18" t="str">
        <f aca="false">IF(OR(AND($A72="",$B72="",$C72="",$D72="",$E72="",$F72="",$G72="",$H72=""),NOT($S72="")),"",ROUND(ROUND($C72*($D72+$E72)/60*$B$5,9),2))</f>
        <v/>
      </c>
      <c r="K72" s="18" t="str">
        <f aca="false">IF(OR(AND($A72="",$B72="",$C72="",$D72="",$E72="",$F72="",$G72="",$H72=""),NOT($S72="")),"",ROUND(ROUND($C72*$F72*$B$6,9),2))</f>
        <v/>
      </c>
      <c r="L72" s="18" t="str">
        <f aca="false">IF(OR(AND($A72="",$B72="",$C72="",$D72="",$E72="",$F72="",$G72="",$H72=""),NOT($S72="")),"",ROUND(ROUND($C72*$G72,9),2))</f>
        <v/>
      </c>
      <c r="M72" s="19" t="str">
        <f aca="false">IF(OR(AND($A72="",$B72="",$C72="",$D72="",$E72="",$F72="",$G72="",$H72=""),NOT($S72="")),"",ROUND($J72+$K72+$L72+$H72,2))</f>
        <v/>
      </c>
      <c r="N72" s="19" t="str">
        <f aca="false">IF(OR(AND($A72="",$B72="",$C72="",$D72="",$E72="",$F72="",$G72="",$H72=""),NOT($S72="")),"",ROUND($B72-$M72,2))</f>
        <v/>
      </c>
      <c r="O72" s="20" t="str">
        <f aca="false">IF(OR(AND($A72="",$B72="",$C72="",$D72="",$E72="",$F72="",$G72="",$H72=""),NOT($S72="")),"",IF($B72=0,"n/a",INT(ROUND($N72/$B72*10000,6))/10000))</f>
        <v/>
      </c>
      <c r="P72" s="18" t="str">
        <f aca="false">IF(OR(AND($A72="",$B72="",$C72="",$D72="",$E72="",$F72="",$G72="",$H72=""),NOT($S72="")),"",ROUNDUP(ROUND($M72*10000/(10000-TargetH),9),2))</f>
        <v/>
      </c>
      <c r="Q72" s="18" t="str">
        <f aca="false">IF(OR(AND($A72="",$B72="",$C72="",$D72="",$E72="",$F72="",$G72="",$H72=""),NOT($S72="")),"",MAX(0,ROUND($P72-$B72,2)))</f>
        <v/>
      </c>
      <c r="R72" s="21" t="str">
        <f aca="false">IF(AND($A72="",$B72="",$C72="",$D72="",$E72="",$F72="",$G72="",$H72=""),"",IF(NOT($S72=""),"Check inputs",IF($B72=0,"No fee entered",IF($N72&lt;0,"Losing money on entered costs",IF(ROUND($N72*100,0)*10000&lt;TargetH*ROUND($B72*100,0),"Below your target","Meets your target")))))</f>
        <v/>
      </c>
      <c r="S72" s="22" t="str">
        <f aca="false">IF(AND($A72="",$B72="",$C72="",$D72="",$E72="",$F72="",$G72="",$H72=""),"",TRIM(IF($A72="","Customer/site label is missing. ","")&amp;IF($B72="","Monthly fee is missing. ",IF(NOT(ISNUMBER($B72)),"Monthly fee must be a number. ",IF($B72&lt;0,"Monthly fee can't be negative. ",IF(ROUND($B72,2)&lt;&gt;$B72,"Monthly fee: use up to 2 decimal places. ",IF($B72&gt;99999.99,"Monthly fee: use 99,999.99 or less. ","")))))&amp;IF($C72="","Visits per month is missing. ",IF(NOT(ISNUMBER($C72)),"Visits per month must be a number. ",IF($C72&lt;0,"Visits per month can't be negative. ",IF(ROUND($C72,3)&lt;&gt;$C72,"Visits per month: use up to 3 decimal places. ",IF($C72=0,"Visits per month must be more than 0. ",IF($C72&gt;31,"Visits per month: use 31 or less. ",""))))))&amp;IF($D72="","Service minutes per visit is missing. ",IF(NOT(ISNUMBER($D72)),"Service minutes per visit must be a number. ",IF($D72&lt;0,"Service minutes per visit can't be negative. ",IF(ROUND($D72,2)&lt;&gt;$D72,"Service minutes per visit: use up to 2 decimal places. ",IF($D72=0,"Service minutes per visit must be more than 0. ",IF($D72&gt;600,"Service minutes per visit: use 600 or less. ",""))))))&amp;IF($E72="","Drive minutes per visit is missing. ",IF(NOT(ISNUMBER($E72)),"Drive minutes per visit must be a number. ",IF($E72&lt;0,"Drive minutes per visit can't be negative. ",IF(ROUND($E72,2)&lt;&gt;$E72,"Drive minutes per visit: use up to 2 decimal places. ",IF($E72&gt;600,"Drive minutes per visit: use 600 or less. ","")))))&amp;IF($F72="","Drive miles per visit is missing. ",IF(NOT(ISNUMBER($F72)),"Drive miles per visit must be a number. ",IF($F72&lt;0,"Drive miles per visit can't be negative. ",IF(ROUND($F72,2)&lt;&gt;$F72,"Drive miles per visit: use up to 2 decimal places. ",IF($F72&gt;1000,"Drive miles per visit: use 1,000 or less. ","")))))&amp;IF($G72="","Chemicals per visit is missing. ",IF(NOT(ISNUMBER($G72)),"Chemicals per visit must be a number. ",IF($G72&lt;0,"Chemicals per visit can't be negative. ",IF(ROUND($G72,2)&lt;&gt;$G72,"Chemicals per visit: use up to 2 decimal places. ",IF($G72&gt;9999.99,"Chemicals per visit: use 9,999.99 or less. ","")))))&amp;IF($H72="","Other monthly costs is missing. ",IF(NOT(ISNUMBER($H72)),"Other monthly costs must be a number. ",IF($H72&lt;0,"Other monthly costs can't be negative. ",IF(ROUND($H72,2)&lt;&gt;$H72,"Other monthly costs: use up to 2 decimal places. ",IF($H72&gt;99999.99,"Other monthly costs: use 99,999.99 or less. ","")))))&amp;IF(SettingsOK,"","Settings incomplete.")))</f>
        <v/>
      </c>
      <c r="T72" s="23" t="str">
        <f aca="false">IF(AND($A72="",$B72="",$C72="",$D72="",$E72="",$F72="",$G72="",$H72=""),"",IF(Review!$B$5="Check inputs",IF($R72="Check inputs",ROW(),""),IF($R72="Check inputs",IF(Review!$B$5="All accounts",-2000000000000000+ROW(),""),IF(AND(Review!$B$5="Needs review",$R72="Meets your target"),"",IF($R72="No fee entered",-1000000000000000+ROW(),$N72/$B72+ROW()/1000000000)))))</f>
        <v/>
      </c>
    </row>
    <row r="73" customFormat="false" ht="15" hidden="false" customHeight="false" outlineLevel="0" collapsed="false">
      <c r="A73" s="14"/>
      <c r="B73" s="15"/>
      <c r="C73" s="16"/>
      <c r="D73" s="14"/>
      <c r="E73" s="14"/>
      <c r="F73" s="14"/>
      <c r="G73" s="15"/>
      <c r="H73" s="15"/>
      <c r="I73" s="17" t="str">
        <f aca="false">IF(OR(AND($A73="",$B73="",$C73="",$D73="",$E73="",$F73="",$G73="",$H73=""),NOT($S73="")),"",ROUND($C73*($D73+$E73)/60,4))</f>
        <v/>
      </c>
      <c r="J73" s="18" t="str">
        <f aca="false">IF(OR(AND($A73="",$B73="",$C73="",$D73="",$E73="",$F73="",$G73="",$H73=""),NOT($S73="")),"",ROUND(ROUND($C73*($D73+$E73)/60*$B$5,9),2))</f>
        <v/>
      </c>
      <c r="K73" s="18" t="str">
        <f aca="false">IF(OR(AND($A73="",$B73="",$C73="",$D73="",$E73="",$F73="",$G73="",$H73=""),NOT($S73="")),"",ROUND(ROUND($C73*$F73*$B$6,9),2))</f>
        <v/>
      </c>
      <c r="L73" s="18" t="str">
        <f aca="false">IF(OR(AND($A73="",$B73="",$C73="",$D73="",$E73="",$F73="",$G73="",$H73=""),NOT($S73="")),"",ROUND(ROUND($C73*$G73,9),2))</f>
        <v/>
      </c>
      <c r="M73" s="19" t="str">
        <f aca="false">IF(OR(AND($A73="",$B73="",$C73="",$D73="",$E73="",$F73="",$G73="",$H73=""),NOT($S73="")),"",ROUND($J73+$K73+$L73+$H73,2))</f>
        <v/>
      </c>
      <c r="N73" s="19" t="str">
        <f aca="false">IF(OR(AND($A73="",$B73="",$C73="",$D73="",$E73="",$F73="",$G73="",$H73=""),NOT($S73="")),"",ROUND($B73-$M73,2))</f>
        <v/>
      </c>
      <c r="O73" s="20" t="str">
        <f aca="false">IF(OR(AND($A73="",$B73="",$C73="",$D73="",$E73="",$F73="",$G73="",$H73=""),NOT($S73="")),"",IF($B73=0,"n/a",INT(ROUND($N73/$B73*10000,6))/10000))</f>
        <v/>
      </c>
      <c r="P73" s="18" t="str">
        <f aca="false">IF(OR(AND($A73="",$B73="",$C73="",$D73="",$E73="",$F73="",$G73="",$H73=""),NOT($S73="")),"",ROUNDUP(ROUND($M73*10000/(10000-TargetH),9),2))</f>
        <v/>
      </c>
      <c r="Q73" s="18" t="str">
        <f aca="false">IF(OR(AND($A73="",$B73="",$C73="",$D73="",$E73="",$F73="",$G73="",$H73=""),NOT($S73="")),"",MAX(0,ROUND($P73-$B73,2)))</f>
        <v/>
      </c>
      <c r="R73" s="21" t="str">
        <f aca="false">IF(AND($A73="",$B73="",$C73="",$D73="",$E73="",$F73="",$G73="",$H73=""),"",IF(NOT($S73=""),"Check inputs",IF($B73=0,"No fee entered",IF($N73&lt;0,"Losing money on entered costs",IF(ROUND($N73*100,0)*10000&lt;TargetH*ROUND($B73*100,0),"Below your target","Meets your target")))))</f>
        <v/>
      </c>
      <c r="S73" s="22" t="str">
        <f aca="false">IF(AND($A73="",$B73="",$C73="",$D73="",$E73="",$F73="",$G73="",$H73=""),"",TRIM(IF($A73="","Customer/site label is missing. ","")&amp;IF($B73="","Monthly fee is missing. ",IF(NOT(ISNUMBER($B73)),"Monthly fee must be a number. ",IF($B73&lt;0,"Monthly fee can't be negative. ",IF(ROUND($B73,2)&lt;&gt;$B73,"Monthly fee: use up to 2 decimal places. ",IF($B73&gt;99999.99,"Monthly fee: use 99,999.99 or less. ","")))))&amp;IF($C73="","Visits per month is missing. ",IF(NOT(ISNUMBER($C73)),"Visits per month must be a number. ",IF($C73&lt;0,"Visits per month can't be negative. ",IF(ROUND($C73,3)&lt;&gt;$C73,"Visits per month: use up to 3 decimal places. ",IF($C73=0,"Visits per month must be more than 0. ",IF($C73&gt;31,"Visits per month: use 31 or less. ",""))))))&amp;IF($D73="","Service minutes per visit is missing. ",IF(NOT(ISNUMBER($D73)),"Service minutes per visit must be a number. ",IF($D73&lt;0,"Service minutes per visit can't be negative. ",IF(ROUND($D73,2)&lt;&gt;$D73,"Service minutes per visit: use up to 2 decimal places. ",IF($D73=0,"Service minutes per visit must be more than 0. ",IF($D73&gt;600,"Service minutes per visit: use 600 or less. ",""))))))&amp;IF($E73="","Drive minutes per visit is missing. ",IF(NOT(ISNUMBER($E73)),"Drive minutes per visit must be a number. ",IF($E73&lt;0,"Drive minutes per visit can't be negative. ",IF(ROUND($E73,2)&lt;&gt;$E73,"Drive minutes per visit: use up to 2 decimal places. ",IF($E73&gt;600,"Drive minutes per visit: use 600 or less. ","")))))&amp;IF($F73="","Drive miles per visit is missing. ",IF(NOT(ISNUMBER($F73)),"Drive miles per visit must be a number. ",IF($F73&lt;0,"Drive miles per visit can't be negative. ",IF(ROUND($F73,2)&lt;&gt;$F73,"Drive miles per visit: use up to 2 decimal places. ",IF($F73&gt;1000,"Drive miles per visit: use 1,000 or less. ","")))))&amp;IF($G73="","Chemicals per visit is missing. ",IF(NOT(ISNUMBER($G73)),"Chemicals per visit must be a number. ",IF($G73&lt;0,"Chemicals per visit can't be negative. ",IF(ROUND($G73,2)&lt;&gt;$G73,"Chemicals per visit: use up to 2 decimal places. ",IF($G73&gt;9999.99,"Chemicals per visit: use 9,999.99 or less. ","")))))&amp;IF($H73="","Other monthly costs is missing. ",IF(NOT(ISNUMBER($H73)),"Other monthly costs must be a number. ",IF($H73&lt;0,"Other monthly costs can't be negative. ",IF(ROUND($H73,2)&lt;&gt;$H73,"Other monthly costs: use up to 2 decimal places. ",IF($H73&gt;99999.99,"Other monthly costs: use 99,999.99 or less. ","")))))&amp;IF(SettingsOK,"","Settings incomplete.")))</f>
        <v/>
      </c>
      <c r="T73" s="23" t="str">
        <f aca="false">IF(AND($A73="",$B73="",$C73="",$D73="",$E73="",$F73="",$G73="",$H73=""),"",IF(Review!$B$5="Check inputs",IF($R73="Check inputs",ROW(),""),IF($R73="Check inputs",IF(Review!$B$5="All accounts",-2000000000000000+ROW(),""),IF(AND(Review!$B$5="Needs review",$R73="Meets your target"),"",IF($R73="No fee entered",-1000000000000000+ROW(),$N73/$B73+ROW()/1000000000)))))</f>
        <v/>
      </c>
    </row>
    <row r="74" customFormat="false" ht="15" hidden="false" customHeight="false" outlineLevel="0" collapsed="false">
      <c r="A74" s="14"/>
      <c r="B74" s="15"/>
      <c r="C74" s="16"/>
      <c r="D74" s="14"/>
      <c r="E74" s="14"/>
      <c r="F74" s="14"/>
      <c r="G74" s="15"/>
      <c r="H74" s="15"/>
      <c r="I74" s="17" t="str">
        <f aca="false">IF(OR(AND($A74="",$B74="",$C74="",$D74="",$E74="",$F74="",$G74="",$H74=""),NOT($S74="")),"",ROUND($C74*($D74+$E74)/60,4))</f>
        <v/>
      </c>
      <c r="J74" s="18" t="str">
        <f aca="false">IF(OR(AND($A74="",$B74="",$C74="",$D74="",$E74="",$F74="",$G74="",$H74=""),NOT($S74="")),"",ROUND(ROUND($C74*($D74+$E74)/60*$B$5,9),2))</f>
        <v/>
      </c>
      <c r="K74" s="18" t="str">
        <f aca="false">IF(OR(AND($A74="",$B74="",$C74="",$D74="",$E74="",$F74="",$G74="",$H74=""),NOT($S74="")),"",ROUND(ROUND($C74*$F74*$B$6,9),2))</f>
        <v/>
      </c>
      <c r="L74" s="18" t="str">
        <f aca="false">IF(OR(AND($A74="",$B74="",$C74="",$D74="",$E74="",$F74="",$G74="",$H74=""),NOT($S74="")),"",ROUND(ROUND($C74*$G74,9),2))</f>
        <v/>
      </c>
      <c r="M74" s="19" t="str">
        <f aca="false">IF(OR(AND($A74="",$B74="",$C74="",$D74="",$E74="",$F74="",$G74="",$H74=""),NOT($S74="")),"",ROUND($J74+$K74+$L74+$H74,2))</f>
        <v/>
      </c>
      <c r="N74" s="19" t="str">
        <f aca="false">IF(OR(AND($A74="",$B74="",$C74="",$D74="",$E74="",$F74="",$G74="",$H74=""),NOT($S74="")),"",ROUND($B74-$M74,2))</f>
        <v/>
      </c>
      <c r="O74" s="20" t="str">
        <f aca="false">IF(OR(AND($A74="",$B74="",$C74="",$D74="",$E74="",$F74="",$G74="",$H74=""),NOT($S74="")),"",IF($B74=0,"n/a",INT(ROUND($N74/$B74*10000,6))/10000))</f>
        <v/>
      </c>
      <c r="P74" s="18" t="str">
        <f aca="false">IF(OR(AND($A74="",$B74="",$C74="",$D74="",$E74="",$F74="",$G74="",$H74=""),NOT($S74="")),"",ROUNDUP(ROUND($M74*10000/(10000-TargetH),9),2))</f>
        <v/>
      </c>
      <c r="Q74" s="18" t="str">
        <f aca="false">IF(OR(AND($A74="",$B74="",$C74="",$D74="",$E74="",$F74="",$G74="",$H74=""),NOT($S74="")),"",MAX(0,ROUND($P74-$B74,2)))</f>
        <v/>
      </c>
      <c r="R74" s="21" t="str">
        <f aca="false">IF(AND($A74="",$B74="",$C74="",$D74="",$E74="",$F74="",$G74="",$H74=""),"",IF(NOT($S74=""),"Check inputs",IF($B74=0,"No fee entered",IF($N74&lt;0,"Losing money on entered costs",IF(ROUND($N74*100,0)*10000&lt;TargetH*ROUND($B74*100,0),"Below your target","Meets your target")))))</f>
        <v/>
      </c>
      <c r="S74" s="22" t="str">
        <f aca="false">IF(AND($A74="",$B74="",$C74="",$D74="",$E74="",$F74="",$G74="",$H74=""),"",TRIM(IF($A74="","Customer/site label is missing. ","")&amp;IF($B74="","Monthly fee is missing. ",IF(NOT(ISNUMBER($B74)),"Monthly fee must be a number. ",IF($B74&lt;0,"Monthly fee can't be negative. ",IF(ROUND($B74,2)&lt;&gt;$B74,"Monthly fee: use up to 2 decimal places. ",IF($B74&gt;99999.99,"Monthly fee: use 99,999.99 or less. ","")))))&amp;IF($C74="","Visits per month is missing. ",IF(NOT(ISNUMBER($C74)),"Visits per month must be a number. ",IF($C74&lt;0,"Visits per month can't be negative. ",IF(ROUND($C74,3)&lt;&gt;$C74,"Visits per month: use up to 3 decimal places. ",IF($C74=0,"Visits per month must be more than 0. ",IF($C74&gt;31,"Visits per month: use 31 or less. ",""))))))&amp;IF($D74="","Service minutes per visit is missing. ",IF(NOT(ISNUMBER($D74)),"Service minutes per visit must be a number. ",IF($D74&lt;0,"Service minutes per visit can't be negative. ",IF(ROUND($D74,2)&lt;&gt;$D74,"Service minutes per visit: use up to 2 decimal places. ",IF($D74=0,"Service minutes per visit must be more than 0. ",IF($D74&gt;600,"Service minutes per visit: use 600 or less. ",""))))))&amp;IF($E74="","Drive minutes per visit is missing. ",IF(NOT(ISNUMBER($E74)),"Drive minutes per visit must be a number. ",IF($E74&lt;0,"Drive minutes per visit can't be negative. ",IF(ROUND($E74,2)&lt;&gt;$E74,"Drive minutes per visit: use up to 2 decimal places. ",IF($E74&gt;600,"Drive minutes per visit: use 600 or less. ","")))))&amp;IF($F74="","Drive miles per visit is missing. ",IF(NOT(ISNUMBER($F74)),"Drive miles per visit must be a number. ",IF($F74&lt;0,"Drive miles per visit can't be negative. ",IF(ROUND($F74,2)&lt;&gt;$F74,"Drive miles per visit: use up to 2 decimal places. ",IF($F74&gt;1000,"Drive miles per visit: use 1,000 or less. ","")))))&amp;IF($G74="","Chemicals per visit is missing. ",IF(NOT(ISNUMBER($G74)),"Chemicals per visit must be a number. ",IF($G74&lt;0,"Chemicals per visit can't be negative. ",IF(ROUND($G74,2)&lt;&gt;$G74,"Chemicals per visit: use up to 2 decimal places. ",IF($G74&gt;9999.99,"Chemicals per visit: use 9,999.99 or less. ","")))))&amp;IF($H74="","Other monthly costs is missing. ",IF(NOT(ISNUMBER($H74)),"Other monthly costs must be a number. ",IF($H74&lt;0,"Other monthly costs can't be negative. ",IF(ROUND($H74,2)&lt;&gt;$H74,"Other monthly costs: use up to 2 decimal places. ",IF($H74&gt;99999.99,"Other monthly costs: use 99,999.99 or less. ","")))))&amp;IF(SettingsOK,"","Settings incomplete.")))</f>
        <v/>
      </c>
      <c r="T74" s="23" t="str">
        <f aca="false">IF(AND($A74="",$B74="",$C74="",$D74="",$E74="",$F74="",$G74="",$H74=""),"",IF(Review!$B$5="Check inputs",IF($R74="Check inputs",ROW(),""),IF($R74="Check inputs",IF(Review!$B$5="All accounts",-2000000000000000+ROW(),""),IF(AND(Review!$B$5="Needs review",$R74="Meets your target"),"",IF($R74="No fee entered",-1000000000000000+ROW(),$N74/$B74+ROW()/1000000000)))))</f>
        <v/>
      </c>
    </row>
    <row r="75" customFormat="false" ht="15" hidden="false" customHeight="false" outlineLevel="0" collapsed="false">
      <c r="A75" s="14"/>
      <c r="B75" s="15"/>
      <c r="C75" s="16"/>
      <c r="D75" s="14"/>
      <c r="E75" s="14"/>
      <c r="F75" s="14"/>
      <c r="G75" s="15"/>
      <c r="H75" s="15"/>
      <c r="I75" s="17" t="str">
        <f aca="false">IF(OR(AND($A75="",$B75="",$C75="",$D75="",$E75="",$F75="",$G75="",$H75=""),NOT($S75="")),"",ROUND($C75*($D75+$E75)/60,4))</f>
        <v/>
      </c>
      <c r="J75" s="18" t="str">
        <f aca="false">IF(OR(AND($A75="",$B75="",$C75="",$D75="",$E75="",$F75="",$G75="",$H75=""),NOT($S75="")),"",ROUND(ROUND($C75*($D75+$E75)/60*$B$5,9),2))</f>
        <v/>
      </c>
      <c r="K75" s="18" t="str">
        <f aca="false">IF(OR(AND($A75="",$B75="",$C75="",$D75="",$E75="",$F75="",$G75="",$H75=""),NOT($S75="")),"",ROUND(ROUND($C75*$F75*$B$6,9),2))</f>
        <v/>
      </c>
      <c r="L75" s="18" t="str">
        <f aca="false">IF(OR(AND($A75="",$B75="",$C75="",$D75="",$E75="",$F75="",$G75="",$H75=""),NOT($S75="")),"",ROUND(ROUND($C75*$G75,9),2))</f>
        <v/>
      </c>
      <c r="M75" s="19" t="str">
        <f aca="false">IF(OR(AND($A75="",$B75="",$C75="",$D75="",$E75="",$F75="",$G75="",$H75=""),NOT($S75="")),"",ROUND($J75+$K75+$L75+$H75,2))</f>
        <v/>
      </c>
      <c r="N75" s="19" t="str">
        <f aca="false">IF(OR(AND($A75="",$B75="",$C75="",$D75="",$E75="",$F75="",$G75="",$H75=""),NOT($S75="")),"",ROUND($B75-$M75,2))</f>
        <v/>
      </c>
      <c r="O75" s="20" t="str">
        <f aca="false">IF(OR(AND($A75="",$B75="",$C75="",$D75="",$E75="",$F75="",$G75="",$H75=""),NOT($S75="")),"",IF($B75=0,"n/a",INT(ROUND($N75/$B75*10000,6))/10000))</f>
        <v/>
      </c>
      <c r="P75" s="18" t="str">
        <f aca="false">IF(OR(AND($A75="",$B75="",$C75="",$D75="",$E75="",$F75="",$G75="",$H75=""),NOT($S75="")),"",ROUNDUP(ROUND($M75*10000/(10000-TargetH),9),2))</f>
        <v/>
      </c>
      <c r="Q75" s="18" t="str">
        <f aca="false">IF(OR(AND($A75="",$B75="",$C75="",$D75="",$E75="",$F75="",$G75="",$H75=""),NOT($S75="")),"",MAX(0,ROUND($P75-$B75,2)))</f>
        <v/>
      </c>
      <c r="R75" s="21" t="str">
        <f aca="false">IF(AND($A75="",$B75="",$C75="",$D75="",$E75="",$F75="",$G75="",$H75=""),"",IF(NOT($S75=""),"Check inputs",IF($B75=0,"No fee entered",IF($N75&lt;0,"Losing money on entered costs",IF(ROUND($N75*100,0)*10000&lt;TargetH*ROUND($B75*100,0),"Below your target","Meets your target")))))</f>
        <v/>
      </c>
      <c r="S75" s="22" t="str">
        <f aca="false">IF(AND($A75="",$B75="",$C75="",$D75="",$E75="",$F75="",$G75="",$H75=""),"",TRIM(IF($A75="","Customer/site label is missing. ","")&amp;IF($B75="","Monthly fee is missing. ",IF(NOT(ISNUMBER($B75)),"Monthly fee must be a number. ",IF($B75&lt;0,"Monthly fee can't be negative. ",IF(ROUND($B75,2)&lt;&gt;$B75,"Monthly fee: use up to 2 decimal places. ",IF($B75&gt;99999.99,"Monthly fee: use 99,999.99 or less. ","")))))&amp;IF($C75="","Visits per month is missing. ",IF(NOT(ISNUMBER($C75)),"Visits per month must be a number. ",IF($C75&lt;0,"Visits per month can't be negative. ",IF(ROUND($C75,3)&lt;&gt;$C75,"Visits per month: use up to 3 decimal places. ",IF($C75=0,"Visits per month must be more than 0. ",IF($C75&gt;31,"Visits per month: use 31 or less. ",""))))))&amp;IF($D75="","Service minutes per visit is missing. ",IF(NOT(ISNUMBER($D75)),"Service minutes per visit must be a number. ",IF($D75&lt;0,"Service minutes per visit can't be negative. ",IF(ROUND($D75,2)&lt;&gt;$D75,"Service minutes per visit: use up to 2 decimal places. ",IF($D75=0,"Service minutes per visit must be more than 0. ",IF($D75&gt;600,"Service minutes per visit: use 600 or less. ",""))))))&amp;IF($E75="","Drive minutes per visit is missing. ",IF(NOT(ISNUMBER($E75)),"Drive minutes per visit must be a number. ",IF($E75&lt;0,"Drive minutes per visit can't be negative. ",IF(ROUND($E75,2)&lt;&gt;$E75,"Drive minutes per visit: use up to 2 decimal places. ",IF($E75&gt;600,"Drive minutes per visit: use 600 or less. ","")))))&amp;IF($F75="","Drive miles per visit is missing. ",IF(NOT(ISNUMBER($F75)),"Drive miles per visit must be a number. ",IF($F75&lt;0,"Drive miles per visit can't be negative. ",IF(ROUND($F75,2)&lt;&gt;$F75,"Drive miles per visit: use up to 2 decimal places. ",IF($F75&gt;1000,"Drive miles per visit: use 1,000 or less. ","")))))&amp;IF($G75="","Chemicals per visit is missing. ",IF(NOT(ISNUMBER($G75)),"Chemicals per visit must be a number. ",IF($G75&lt;0,"Chemicals per visit can't be negative. ",IF(ROUND($G75,2)&lt;&gt;$G75,"Chemicals per visit: use up to 2 decimal places. ",IF($G75&gt;9999.99,"Chemicals per visit: use 9,999.99 or less. ","")))))&amp;IF($H75="","Other monthly costs is missing. ",IF(NOT(ISNUMBER($H75)),"Other monthly costs must be a number. ",IF($H75&lt;0,"Other monthly costs can't be negative. ",IF(ROUND($H75,2)&lt;&gt;$H75,"Other monthly costs: use up to 2 decimal places. ",IF($H75&gt;99999.99,"Other monthly costs: use 99,999.99 or less. ","")))))&amp;IF(SettingsOK,"","Settings incomplete.")))</f>
        <v/>
      </c>
      <c r="T75" s="23" t="str">
        <f aca="false">IF(AND($A75="",$B75="",$C75="",$D75="",$E75="",$F75="",$G75="",$H75=""),"",IF(Review!$B$5="Check inputs",IF($R75="Check inputs",ROW(),""),IF($R75="Check inputs",IF(Review!$B$5="All accounts",-2000000000000000+ROW(),""),IF(AND(Review!$B$5="Needs review",$R75="Meets your target"),"",IF($R75="No fee entered",-1000000000000000+ROW(),$N75/$B75+ROW()/1000000000)))))</f>
        <v/>
      </c>
    </row>
    <row r="76" customFormat="false" ht="15" hidden="false" customHeight="false" outlineLevel="0" collapsed="false">
      <c r="A76" s="14"/>
      <c r="B76" s="15"/>
      <c r="C76" s="16"/>
      <c r="D76" s="14"/>
      <c r="E76" s="14"/>
      <c r="F76" s="14"/>
      <c r="G76" s="15"/>
      <c r="H76" s="15"/>
      <c r="I76" s="17" t="str">
        <f aca="false">IF(OR(AND($A76="",$B76="",$C76="",$D76="",$E76="",$F76="",$G76="",$H76=""),NOT($S76="")),"",ROUND($C76*($D76+$E76)/60,4))</f>
        <v/>
      </c>
      <c r="J76" s="18" t="str">
        <f aca="false">IF(OR(AND($A76="",$B76="",$C76="",$D76="",$E76="",$F76="",$G76="",$H76=""),NOT($S76="")),"",ROUND(ROUND($C76*($D76+$E76)/60*$B$5,9),2))</f>
        <v/>
      </c>
      <c r="K76" s="18" t="str">
        <f aca="false">IF(OR(AND($A76="",$B76="",$C76="",$D76="",$E76="",$F76="",$G76="",$H76=""),NOT($S76="")),"",ROUND(ROUND($C76*$F76*$B$6,9),2))</f>
        <v/>
      </c>
      <c r="L76" s="18" t="str">
        <f aca="false">IF(OR(AND($A76="",$B76="",$C76="",$D76="",$E76="",$F76="",$G76="",$H76=""),NOT($S76="")),"",ROUND(ROUND($C76*$G76,9),2))</f>
        <v/>
      </c>
      <c r="M76" s="19" t="str">
        <f aca="false">IF(OR(AND($A76="",$B76="",$C76="",$D76="",$E76="",$F76="",$G76="",$H76=""),NOT($S76="")),"",ROUND($J76+$K76+$L76+$H76,2))</f>
        <v/>
      </c>
      <c r="N76" s="19" t="str">
        <f aca="false">IF(OR(AND($A76="",$B76="",$C76="",$D76="",$E76="",$F76="",$G76="",$H76=""),NOT($S76="")),"",ROUND($B76-$M76,2))</f>
        <v/>
      </c>
      <c r="O76" s="20" t="str">
        <f aca="false">IF(OR(AND($A76="",$B76="",$C76="",$D76="",$E76="",$F76="",$G76="",$H76=""),NOT($S76="")),"",IF($B76=0,"n/a",INT(ROUND($N76/$B76*10000,6))/10000))</f>
        <v/>
      </c>
      <c r="P76" s="18" t="str">
        <f aca="false">IF(OR(AND($A76="",$B76="",$C76="",$D76="",$E76="",$F76="",$G76="",$H76=""),NOT($S76="")),"",ROUNDUP(ROUND($M76*10000/(10000-TargetH),9),2))</f>
        <v/>
      </c>
      <c r="Q76" s="18" t="str">
        <f aca="false">IF(OR(AND($A76="",$B76="",$C76="",$D76="",$E76="",$F76="",$G76="",$H76=""),NOT($S76="")),"",MAX(0,ROUND($P76-$B76,2)))</f>
        <v/>
      </c>
      <c r="R76" s="21" t="str">
        <f aca="false">IF(AND($A76="",$B76="",$C76="",$D76="",$E76="",$F76="",$G76="",$H76=""),"",IF(NOT($S76=""),"Check inputs",IF($B76=0,"No fee entered",IF($N76&lt;0,"Losing money on entered costs",IF(ROUND($N76*100,0)*10000&lt;TargetH*ROUND($B76*100,0),"Below your target","Meets your target")))))</f>
        <v/>
      </c>
      <c r="S76" s="22" t="str">
        <f aca="false">IF(AND($A76="",$B76="",$C76="",$D76="",$E76="",$F76="",$G76="",$H76=""),"",TRIM(IF($A76="","Customer/site label is missing. ","")&amp;IF($B76="","Monthly fee is missing. ",IF(NOT(ISNUMBER($B76)),"Monthly fee must be a number. ",IF($B76&lt;0,"Monthly fee can't be negative. ",IF(ROUND($B76,2)&lt;&gt;$B76,"Monthly fee: use up to 2 decimal places. ",IF($B76&gt;99999.99,"Monthly fee: use 99,999.99 or less. ","")))))&amp;IF($C76="","Visits per month is missing. ",IF(NOT(ISNUMBER($C76)),"Visits per month must be a number. ",IF($C76&lt;0,"Visits per month can't be negative. ",IF(ROUND($C76,3)&lt;&gt;$C76,"Visits per month: use up to 3 decimal places. ",IF($C76=0,"Visits per month must be more than 0. ",IF($C76&gt;31,"Visits per month: use 31 or less. ",""))))))&amp;IF($D76="","Service minutes per visit is missing. ",IF(NOT(ISNUMBER($D76)),"Service minutes per visit must be a number. ",IF($D76&lt;0,"Service minutes per visit can't be negative. ",IF(ROUND($D76,2)&lt;&gt;$D76,"Service minutes per visit: use up to 2 decimal places. ",IF($D76=0,"Service minutes per visit must be more than 0. ",IF($D76&gt;600,"Service minutes per visit: use 600 or less. ",""))))))&amp;IF($E76="","Drive minutes per visit is missing. ",IF(NOT(ISNUMBER($E76)),"Drive minutes per visit must be a number. ",IF($E76&lt;0,"Drive minutes per visit can't be negative. ",IF(ROUND($E76,2)&lt;&gt;$E76,"Drive minutes per visit: use up to 2 decimal places. ",IF($E76&gt;600,"Drive minutes per visit: use 600 or less. ","")))))&amp;IF($F76="","Drive miles per visit is missing. ",IF(NOT(ISNUMBER($F76)),"Drive miles per visit must be a number. ",IF($F76&lt;0,"Drive miles per visit can't be negative. ",IF(ROUND($F76,2)&lt;&gt;$F76,"Drive miles per visit: use up to 2 decimal places. ",IF($F76&gt;1000,"Drive miles per visit: use 1,000 or less. ","")))))&amp;IF($G76="","Chemicals per visit is missing. ",IF(NOT(ISNUMBER($G76)),"Chemicals per visit must be a number. ",IF($G76&lt;0,"Chemicals per visit can't be negative. ",IF(ROUND($G76,2)&lt;&gt;$G76,"Chemicals per visit: use up to 2 decimal places. ",IF($G76&gt;9999.99,"Chemicals per visit: use 9,999.99 or less. ","")))))&amp;IF($H76="","Other monthly costs is missing. ",IF(NOT(ISNUMBER($H76)),"Other monthly costs must be a number. ",IF($H76&lt;0,"Other monthly costs can't be negative. ",IF(ROUND($H76,2)&lt;&gt;$H76,"Other monthly costs: use up to 2 decimal places. ",IF($H76&gt;99999.99,"Other monthly costs: use 99,999.99 or less. ","")))))&amp;IF(SettingsOK,"","Settings incomplete.")))</f>
        <v/>
      </c>
      <c r="T76" s="23" t="str">
        <f aca="false">IF(AND($A76="",$B76="",$C76="",$D76="",$E76="",$F76="",$G76="",$H76=""),"",IF(Review!$B$5="Check inputs",IF($R76="Check inputs",ROW(),""),IF($R76="Check inputs",IF(Review!$B$5="All accounts",-2000000000000000+ROW(),""),IF(AND(Review!$B$5="Needs review",$R76="Meets your target"),"",IF($R76="No fee entered",-1000000000000000+ROW(),$N76/$B76+ROW()/1000000000)))))</f>
        <v/>
      </c>
    </row>
    <row r="77" customFormat="false" ht="15" hidden="false" customHeight="false" outlineLevel="0" collapsed="false">
      <c r="A77" s="14"/>
      <c r="B77" s="15"/>
      <c r="C77" s="16"/>
      <c r="D77" s="14"/>
      <c r="E77" s="14"/>
      <c r="F77" s="14"/>
      <c r="G77" s="15"/>
      <c r="H77" s="15"/>
      <c r="I77" s="17" t="str">
        <f aca="false">IF(OR(AND($A77="",$B77="",$C77="",$D77="",$E77="",$F77="",$G77="",$H77=""),NOT($S77="")),"",ROUND($C77*($D77+$E77)/60,4))</f>
        <v/>
      </c>
      <c r="J77" s="18" t="str">
        <f aca="false">IF(OR(AND($A77="",$B77="",$C77="",$D77="",$E77="",$F77="",$G77="",$H77=""),NOT($S77="")),"",ROUND(ROUND($C77*($D77+$E77)/60*$B$5,9),2))</f>
        <v/>
      </c>
      <c r="K77" s="18" t="str">
        <f aca="false">IF(OR(AND($A77="",$B77="",$C77="",$D77="",$E77="",$F77="",$G77="",$H77=""),NOT($S77="")),"",ROUND(ROUND($C77*$F77*$B$6,9),2))</f>
        <v/>
      </c>
      <c r="L77" s="18" t="str">
        <f aca="false">IF(OR(AND($A77="",$B77="",$C77="",$D77="",$E77="",$F77="",$G77="",$H77=""),NOT($S77="")),"",ROUND(ROUND($C77*$G77,9),2))</f>
        <v/>
      </c>
      <c r="M77" s="19" t="str">
        <f aca="false">IF(OR(AND($A77="",$B77="",$C77="",$D77="",$E77="",$F77="",$G77="",$H77=""),NOT($S77="")),"",ROUND($J77+$K77+$L77+$H77,2))</f>
        <v/>
      </c>
      <c r="N77" s="19" t="str">
        <f aca="false">IF(OR(AND($A77="",$B77="",$C77="",$D77="",$E77="",$F77="",$G77="",$H77=""),NOT($S77="")),"",ROUND($B77-$M77,2))</f>
        <v/>
      </c>
      <c r="O77" s="20" t="str">
        <f aca="false">IF(OR(AND($A77="",$B77="",$C77="",$D77="",$E77="",$F77="",$G77="",$H77=""),NOT($S77="")),"",IF($B77=0,"n/a",INT(ROUND($N77/$B77*10000,6))/10000))</f>
        <v/>
      </c>
      <c r="P77" s="18" t="str">
        <f aca="false">IF(OR(AND($A77="",$B77="",$C77="",$D77="",$E77="",$F77="",$G77="",$H77=""),NOT($S77="")),"",ROUNDUP(ROUND($M77*10000/(10000-TargetH),9),2))</f>
        <v/>
      </c>
      <c r="Q77" s="18" t="str">
        <f aca="false">IF(OR(AND($A77="",$B77="",$C77="",$D77="",$E77="",$F77="",$G77="",$H77=""),NOT($S77="")),"",MAX(0,ROUND($P77-$B77,2)))</f>
        <v/>
      </c>
      <c r="R77" s="21" t="str">
        <f aca="false">IF(AND($A77="",$B77="",$C77="",$D77="",$E77="",$F77="",$G77="",$H77=""),"",IF(NOT($S77=""),"Check inputs",IF($B77=0,"No fee entered",IF($N77&lt;0,"Losing money on entered costs",IF(ROUND($N77*100,0)*10000&lt;TargetH*ROUND($B77*100,0),"Below your target","Meets your target")))))</f>
        <v/>
      </c>
      <c r="S77" s="22" t="str">
        <f aca="false">IF(AND($A77="",$B77="",$C77="",$D77="",$E77="",$F77="",$G77="",$H77=""),"",TRIM(IF($A77="","Customer/site label is missing. ","")&amp;IF($B77="","Monthly fee is missing. ",IF(NOT(ISNUMBER($B77)),"Monthly fee must be a number. ",IF($B77&lt;0,"Monthly fee can't be negative. ",IF(ROUND($B77,2)&lt;&gt;$B77,"Monthly fee: use up to 2 decimal places. ",IF($B77&gt;99999.99,"Monthly fee: use 99,999.99 or less. ","")))))&amp;IF($C77="","Visits per month is missing. ",IF(NOT(ISNUMBER($C77)),"Visits per month must be a number. ",IF($C77&lt;0,"Visits per month can't be negative. ",IF(ROUND($C77,3)&lt;&gt;$C77,"Visits per month: use up to 3 decimal places. ",IF($C77=0,"Visits per month must be more than 0. ",IF($C77&gt;31,"Visits per month: use 31 or less. ",""))))))&amp;IF($D77="","Service minutes per visit is missing. ",IF(NOT(ISNUMBER($D77)),"Service minutes per visit must be a number. ",IF($D77&lt;0,"Service minutes per visit can't be negative. ",IF(ROUND($D77,2)&lt;&gt;$D77,"Service minutes per visit: use up to 2 decimal places. ",IF($D77=0,"Service minutes per visit must be more than 0. ",IF($D77&gt;600,"Service minutes per visit: use 600 or less. ",""))))))&amp;IF($E77="","Drive minutes per visit is missing. ",IF(NOT(ISNUMBER($E77)),"Drive minutes per visit must be a number. ",IF($E77&lt;0,"Drive minutes per visit can't be negative. ",IF(ROUND($E77,2)&lt;&gt;$E77,"Drive minutes per visit: use up to 2 decimal places. ",IF($E77&gt;600,"Drive minutes per visit: use 600 or less. ","")))))&amp;IF($F77="","Drive miles per visit is missing. ",IF(NOT(ISNUMBER($F77)),"Drive miles per visit must be a number. ",IF($F77&lt;0,"Drive miles per visit can't be negative. ",IF(ROUND($F77,2)&lt;&gt;$F77,"Drive miles per visit: use up to 2 decimal places. ",IF($F77&gt;1000,"Drive miles per visit: use 1,000 or less. ","")))))&amp;IF($G77="","Chemicals per visit is missing. ",IF(NOT(ISNUMBER($G77)),"Chemicals per visit must be a number. ",IF($G77&lt;0,"Chemicals per visit can't be negative. ",IF(ROUND($G77,2)&lt;&gt;$G77,"Chemicals per visit: use up to 2 decimal places. ",IF($G77&gt;9999.99,"Chemicals per visit: use 9,999.99 or less. ","")))))&amp;IF($H77="","Other monthly costs is missing. ",IF(NOT(ISNUMBER($H77)),"Other monthly costs must be a number. ",IF($H77&lt;0,"Other monthly costs can't be negative. ",IF(ROUND($H77,2)&lt;&gt;$H77,"Other monthly costs: use up to 2 decimal places. ",IF($H77&gt;99999.99,"Other monthly costs: use 99,999.99 or less. ","")))))&amp;IF(SettingsOK,"","Settings incomplete.")))</f>
        <v/>
      </c>
      <c r="T77" s="23" t="str">
        <f aca="false">IF(AND($A77="",$B77="",$C77="",$D77="",$E77="",$F77="",$G77="",$H77=""),"",IF(Review!$B$5="Check inputs",IF($R77="Check inputs",ROW(),""),IF($R77="Check inputs",IF(Review!$B$5="All accounts",-2000000000000000+ROW(),""),IF(AND(Review!$B$5="Needs review",$R77="Meets your target"),"",IF($R77="No fee entered",-1000000000000000+ROW(),$N77/$B77+ROW()/1000000000)))))</f>
        <v/>
      </c>
    </row>
    <row r="78" customFormat="false" ht="15" hidden="false" customHeight="false" outlineLevel="0" collapsed="false">
      <c r="A78" s="14"/>
      <c r="B78" s="15"/>
      <c r="C78" s="16"/>
      <c r="D78" s="14"/>
      <c r="E78" s="14"/>
      <c r="F78" s="14"/>
      <c r="G78" s="15"/>
      <c r="H78" s="15"/>
      <c r="I78" s="17" t="str">
        <f aca="false">IF(OR(AND($A78="",$B78="",$C78="",$D78="",$E78="",$F78="",$G78="",$H78=""),NOT($S78="")),"",ROUND($C78*($D78+$E78)/60,4))</f>
        <v/>
      </c>
      <c r="J78" s="18" t="str">
        <f aca="false">IF(OR(AND($A78="",$B78="",$C78="",$D78="",$E78="",$F78="",$G78="",$H78=""),NOT($S78="")),"",ROUND(ROUND($C78*($D78+$E78)/60*$B$5,9),2))</f>
        <v/>
      </c>
      <c r="K78" s="18" t="str">
        <f aca="false">IF(OR(AND($A78="",$B78="",$C78="",$D78="",$E78="",$F78="",$G78="",$H78=""),NOT($S78="")),"",ROUND(ROUND($C78*$F78*$B$6,9),2))</f>
        <v/>
      </c>
      <c r="L78" s="18" t="str">
        <f aca="false">IF(OR(AND($A78="",$B78="",$C78="",$D78="",$E78="",$F78="",$G78="",$H78=""),NOT($S78="")),"",ROUND(ROUND($C78*$G78,9),2))</f>
        <v/>
      </c>
      <c r="M78" s="19" t="str">
        <f aca="false">IF(OR(AND($A78="",$B78="",$C78="",$D78="",$E78="",$F78="",$G78="",$H78=""),NOT($S78="")),"",ROUND($J78+$K78+$L78+$H78,2))</f>
        <v/>
      </c>
      <c r="N78" s="19" t="str">
        <f aca="false">IF(OR(AND($A78="",$B78="",$C78="",$D78="",$E78="",$F78="",$G78="",$H78=""),NOT($S78="")),"",ROUND($B78-$M78,2))</f>
        <v/>
      </c>
      <c r="O78" s="20" t="str">
        <f aca="false">IF(OR(AND($A78="",$B78="",$C78="",$D78="",$E78="",$F78="",$G78="",$H78=""),NOT($S78="")),"",IF($B78=0,"n/a",INT(ROUND($N78/$B78*10000,6))/10000))</f>
        <v/>
      </c>
      <c r="P78" s="18" t="str">
        <f aca="false">IF(OR(AND($A78="",$B78="",$C78="",$D78="",$E78="",$F78="",$G78="",$H78=""),NOT($S78="")),"",ROUNDUP(ROUND($M78*10000/(10000-TargetH),9),2))</f>
        <v/>
      </c>
      <c r="Q78" s="18" t="str">
        <f aca="false">IF(OR(AND($A78="",$B78="",$C78="",$D78="",$E78="",$F78="",$G78="",$H78=""),NOT($S78="")),"",MAX(0,ROUND($P78-$B78,2)))</f>
        <v/>
      </c>
      <c r="R78" s="21" t="str">
        <f aca="false">IF(AND($A78="",$B78="",$C78="",$D78="",$E78="",$F78="",$G78="",$H78=""),"",IF(NOT($S78=""),"Check inputs",IF($B78=0,"No fee entered",IF($N78&lt;0,"Losing money on entered costs",IF(ROUND($N78*100,0)*10000&lt;TargetH*ROUND($B78*100,0),"Below your target","Meets your target")))))</f>
        <v/>
      </c>
      <c r="S78" s="22" t="str">
        <f aca="false">IF(AND($A78="",$B78="",$C78="",$D78="",$E78="",$F78="",$G78="",$H78=""),"",TRIM(IF($A78="","Customer/site label is missing. ","")&amp;IF($B78="","Monthly fee is missing. ",IF(NOT(ISNUMBER($B78)),"Monthly fee must be a number. ",IF($B78&lt;0,"Monthly fee can't be negative. ",IF(ROUND($B78,2)&lt;&gt;$B78,"Monthly fee: use up to 2 decimal places. ",IF($B78&gt;99999.99,"Monthly fee: use 99,999.99 or less. ","")))))&amp;IF($C78="","Visits per month is missing. ",IF(NOT(ISNUMBER($C78)),"Visits per month must be a number. ",IF($C78&lt;0,"Visits per month can't be negative. ",IF(ROUND($C78,3)&lt;&gt;$C78,"Visits per month: use up to 3 decimal places. ",IF($C78=0,"Visits per month must be more than 0. ",IF($C78&gt;31,"Visits per month: use 31 or less. ",""))))))&amp;IF($D78="","Service minutes per visit is missing. ",IF(NOT(ISNUMBER($D78)),"Service minutes per visit must be a number. ",IF($D78&lt;0,"Service minutes per visit can't be negative. ",IF(ROUND($D78,2)&lt;&gt;$D78,"Service minutes per visit: use up to 2 decimal places. ",IF($D78=0,"Service minutes per visit must be more than 0. ",IF($D78&gt;600,"Service minutes per visit: use 600 or less. ",""))))))&amp;IF($E78="","Drive minutes per visit is missing. ",IF(NOT(ISNUMBER($E78)),"Drive minutes per visit must be a number. ",IF($E78&lt;0,"Drive minutes per visit can't be negative. ",IF(ROUND($E78,2)&lt;&gt;$E78,"Drive minutes per visit: use up to 2 decimal places. ",IF($E78&gt;600,"Drive minutes per visit: use 600 or less. ","")))))&amp;IF($F78="","Drive miles per visit is missing. ",IF(NOT(ISNUMBER($F78)),"Drive miles per visit must be a number. ",IF($F78&lt;0,"Drive miles per visit can't be negative. ",IF(ROUND($F78,2)&lt;&gt;$F78,"Drive miles per visit: use up to 2 decimal places. ",IF($F78&gt;1000,"Drive miles per visit: use 1,000 or less. ","")))))&amp;IF($G78="","Chemicals per visit is missing. ",IF(NOT(ISNUMBER($G78)),"Chemicals per visit must be a number. ",IF($G78&lt;0,"Chemicals per visit can't be negative. ",IF(ROUND($G78,2)&lt;&gt;$G78,"Chemicals per visit: use up to 2 decimal places. ",IF($G78&gt;9999.99,"Chemicals per visit: use 9,999.99 or less. ","")))))&amp;IF($H78="","Other monthly costs is missing. ",IF(NOT(ISNUMBER($H78)),"Other monthly costs must be a number. ",IF($H78&lt;0,"Other monthly costs can't be negative. ",IF(ROUND($H78,2)&lt;&gt;$H78,"Other monthly costs: use up to 2 decimal places. ",IF($H78&gt;99999.99,"Other monthly costs: use 99,999.99 or less. ","")))))&amp;IF(SettingsOK,"","Settings incomplete.")))</f>
        <v/>
      </c>
      <c r="T78" s="23" t="str">
        <f aca="false">IF(AND($A78="",$B78="",$C78="",$D78="",$E78="",$F78="",$G78="",$H78=""),"",IF(Review!$B$5="Check inputs",IF($R78="Check inputs",ROW(),""),IF($R78="Check inputs",IF(Review!$B$5="All accounts",-2000000000000000+ROW(),""),IF(AND(Review!$B$5="Needs review",$R78="Meets your target"),"",IF($R78="No fee entered",-1000000000000000+ROW(),$N78/$B78+ROW()/1000000000)))))</f>
        <v/>
      </c>
    </row>
    <row r="79" customFormat="false" ht="15" hidden="false" customHeight="false" outlineLevel="0" collapsed="false">
      <c r="A79" s="14"/>
      <c r="B79" s="15"/>
      <c r="C79" s="16"/>
      <c r="D79" s="14"/>
      <c r="E79" s="14"/>
      <c r="F79" s="14"/>
      <c r="G79" s="15"/>
      <c r="H79" s="15"/>
      <c r="I79" s="17" t="str">
        <f aca="false">IF(OR(AND($A79="",$B79="",$C79="",$D79="",$E79="",$F79="",$G79="",$H79=""),NOT($S79="")),"",ROUND($C79*($D79+$E79)/60,4))</f>
        <v/>
      </c>
      <c r="J79" s="18" t="str">
        <f aca="false">IF(OR(AND($A79="",$B79="",$C79="",$D79="",$E79="",$F79="",$G79="",$H79=""),NOT($S79="")),"",ROUND(ROUND($C79*($D79+$E79)/60*$B$5,9),2))</f>
        <v/>
      </c>
      <c r="K79" s="18" t="str">
        <f aca="false">IF(OR(AND($A79="",$B79="",$C79="",$D79="",$E79="",$F79="",$G79="",$H79=""),NOT($S79="")),"",ROUND(ROUND($C79*$F79*$B$6,9),2))</f>
        <v/>
      </c>
      <c r="L79" s="18" t="str">
        <f aca="false">IF(OR(AND($A79="",$B79="",$C79="",$D79="",$E79="",$F79="",$G79="",$H79=""),NOT($S79="")),"",ROUND(ROUND($C79*$G79,9),2))</f>
        <v/>
      </c>
      <c r="M79" s="19" t="str">
        <f aca="false">IF(OR(AND($A79="",$B79="",$C79="",$D79="",$E79="",$F79="",$G79="",$H79=""),NOT($S79="")),"",ROUND($J79+$K79+$L79+$H79,2))</f>
        <v/>
      </c>
      <c r="N79" s="19" t="str">
        <f aca="false">IF(OR(AND($A79="",$B79="",$C79="",$D79="",$E79="",$F79="",$G79="",$H79=""),NOT($S79="")),"",ROUND($B79-$M79,2))</f>
        <v/>
      </c>
      <c r="O79" s="20" t="str">
        <f aca="false">IF(OR(AND($A79="",$B79="",$C79="",$D79="",$E79="",$F79="",$G79="",$H79=""),NOT($S79="")),"",IF($B79=0,"n/a",INT(ROUND($N79/$B79*10000,6))/10000))</f>
        <v/>
      </c>
      <c r="P79" s="18" t="str">
        <f aca="false">IF(OR(AND($A79="",$B79="",$C79="",$D79="",$E79="",$F79="",$G79="",$H79=""),NOT($S79="")),"",ROUNDUP(ROUND($M79*10000/(10000-TargetH),9),2))</f>
        <v/>
      </c>
      <c r="Q79" s="18" t="str">
        <f aca="false">IF(OR(AND($A79="",$B79="",$C79="",$D79="",$E79="",$F79="",$G79="",$H79=""),NOT($S79="")),"",MAX(0,ROUND($P79-$B79,2)))</f>
        <v/>
      </c>
      <c r="R79" s="21" t="str">
        <f aca="false">IF(AND($A79="",$B79="",$C79="",$D79="",$E79="",$F79="",$G79="",$H79=""),"",IF(NOT($S79=""),"Check inputs",IF($B79=0,"No fee entered",IF($N79&lt;0,"Losing money on entered costs",IF(ROUND($N79*100,0)*10000&lt;TargetH*ROUND($B79*100,0),"Below your target","Meets your target")))))</f>
        <v/>
      </c>
      <c r="S79" s="22" t="str">
        <f aca="false">IF(AND($A79="",$B79="",$C79="",$D79="",$E79="",$F79="",$G79="",$H79=""),"",TRIM(IF($A79="","Customer/site label is missing. ","")&amp;IF($B79="","Monthly fee is missing. ",IF(NOT(ISNUMBER($B79)),"Monthly fee must be a number. ",IF($B79&lt;0,"Monthly fee can't be negative. ",IF(ROUND($B79,2)&lt;&gt;$B79,"Monthly fee: use up to 2 decimal places. ",IF($B79&gt;99999.99,"Monthly fee: use 99,999.99 or less. ","")))))&amp;IF($C79="","Visits per month is missing. ",IF(NOT(ISNUMBER($C79)),"Visits per month must be a number. ",IF($C79&lt;0,"Visits per month can't be negative. ",IF(ROUND($C79,3)&lt;&gt;$C79,"Visits per month: use up to 3 decimal places. ",IF($C79=0,"Visits per month must be more than 0. ",IF($C79&gt;31,"Visits per month: use 31 or less. ",""))))))&amp;IF($D79="","Service minutes per visit is missing. ",IF(NOT(ISNUMBER($D79)),"Service minutes per visit must be a number. ",IF($D79&lt;0,"Service minutes per visit can't be negative. ",IF(ROUND($D79,2)&lt;&gt;$D79,"Service minutes per visit: use up to 2 decimal places. ",IF($D79=0,"Service minutes per visit must be more than 0. ",IF($D79&gt;600,"Service minutes per visit: use 600 or less. ",""))))))&amp;IF($E79="","Drive minutes per visit is missing. ",IF(NOT(ISNUMBER($E79)),"Drive minutes per visit must be a number. ",IF($E79&lt;0,"Drive minutes per visit can't be negative. ",IF(ROUND($E79,2)&lt;&gt;$E79,"Drive minutes per visit: use up to 2 decimal places. ",IF($E79&gt;600,"Drive minutes per visit: use 600 or less. ","")))))&amp;IF($F79="","Drive miles per visit is missing. ",IF(NOT(ISNUMBER($F79)),"Drive miles per visit must be a number. ",IF($F79&lt;0,"Drive miles per visit can't be negative. ",IF(ROUND($F79,2)&lt;&gt;$F79,"Drive miles per visit: use up to 2 decimal places. ",IF($F79&gt;1000,"Drive miles per visit: use 1,000 or less. ","")))))&amp;IF($G79="","Chemicals per visit is missing. ",IF(NOT(ISNUMBER($G79)),"Chemicals per visit must be a number. ",IF($G79&lt;0,"Chemicals per visit can't be negative. ",IF(ROUND($G79,2)&lt;&gt;$G79,"Chemicals per visit: use up to 2 decimal places. ",IF($G79&gt;9999.99,"Chemicals per visit: use 9,999.99 or less. ","")))))&amp;IF($H79="","Other monthly costs is missing. ",IF(NOT(ISNUMBER($H79)),"Other monthly costs must be a number. ",IF($H79&lt;0,"Other monthly costs can't be negative. ",IF(ROUND($H79,2)&lt;&gt;$H79,"Other monthly costs: use up to 2 decimal places. ",IF($H79&gt;99999.99,"Other monthly costs: use 99,999.99 or less. ","")))))&amp;IF(SettingsOK,"","Settings incomplete.")))</f>
        <v/>
      </c>
      <c r="T79" s="23" t="str">
        <f aca="false">IF(AND($A79="",$B79="",$C79="",$D79="",$E79="",$F79="",$G79="",$H79=""),"",IF(Review!$B$5="Check inputs",IF($R79="Check inputs",ROW(),""),IF($R79="Check inputs",IF(Review!$B$5="All accounts",-2000000000000000+ROW(),""),IF(AND(Review!$B$5="Needs review",$R79="Meets your target"),"",IF($R79="No fee entered",-1000000000000000+ROW(),$N79/$B79+ROW()/1000000000)))))</f>
        <v/>
      </c>
    </row>
    <row r="80" customFormat="false" ht="15" hidden="false" customHeight="false" outlineLevel="0" collapsed="false">
      <c r="A80" s="14"/>
      <c r="B80" s="15"/>
      <c r="C80" s="16"/>
      <c r="D80" s="14"/>
      <c r="E80" s="14"/>
      <c r="F80" s="14"/>
      <c r="G80" s="15"/>
      <c r="H80" s="15"/>
      <c r="I80" s="17" t="str">
        <f aca="false">IF(OR(AND($A80="",$B80="",$C80="",$D80="",$E80="",$F80="",$G80="",$H80=""),NOT($S80="")),"",ROUND($C80*($D80+$E80)/60,4))</f>
        <v/>
      </c>
      <c r="J80" s="18" t="str">
        <f aca="false">IF(OR(AND($A80="",$B80="",$C80="",$D80="",$E80="",$F80="",$G80="",$H80=""),NOT($S80="")),"",ROUND(ROUND($C80*($D80+$E80)/60*$B$5,9),2))</f>
        <v/>
      </c>
      <c r="K80" s="18" t="str">
        <f aca="false">IF(OR(AND($A80="",$B80="",$C80="",$D80="",$E80="",$F80="",$G80="",$H80=""),NOT($S80="")),"",ROUND(ROUND($C80*$F80*$B$6,9),2))</f>
        <v/>
      </c>
      <c r="L80" s="18" t="str">
        <f aca="false">IF(OR(AND($A80="",$B80="",$C80="",$D80="",$E80="",$F80="",$G80="",$H80=""),NOT($S80="")),"",ROUND(ROUND($C80*$G80,9),2))</f>
        <v/>
      </c>
      <c r="M80" s="19" t="str">
        <f aca="false">IF(OR(AND($A80="",$B80="",$C80="",$D80="",$E80="",$F80="",$G80="",$H80=""),NOT($S80="")),"",ROUND($J80+$K80+$L80+$H80,2))</f>
        <v/>
      </c>
      <c r="N80" s="19" t="str">
        <f aca="false">IF(OR(AND($A80="",$B80="",$C80="",$D80="",$E80="",$F80="",$G80="",$H80=""),NOT($S80="")),"",ROUND($B80-$M80,2))</f>
        <v/>
      </c>
      <c r="O80" s="20" t="str">
        <f aca="false">IF(OR(AND($A80="",$B80="",$C80="",$D80="",$E80="",$F80="",$G80="",$H80=""),NOT($S80="")),"",IF($B80=0,"n/a",INT(ROUND($N80/$B80*10000,6))/10000))</f>
        <v/>
      </c>
      <c r="P80" s="18" t="str">
        <f aca="false">IF(OR(AND($A80="",$B80="",$C80="",$D80="",$E80="",$F80="",$G80="",$H80=""),NOT($S80="")),"",ROUNDUP(ROUND($M80*10000/(10000-TargetH),9),2))</f>
        <v/>
      </c>
      <c r="Q80" s="18" t="str">
        <f aca="false">IF(OR(AND($A80="",$B80="",$C80="",$D80="",$E80="",$F80="",$G80="",$H80=""),NOT($S80="")),"",MAX(0,ROUND($P80-$B80,2)))</f>
        <v/>
      </c>
      <c r="R80" s="21" t="str">
        <f aca="false">IF(AND($A80="",$B80="",$C80="",$D80="",$E80="",$F80="",$G80="",$H80=""),"",IF(NOT($S80=""),"Check inputs",IF($B80=0,"No fee entered",IF($N80&lt;0,"Losing money on entered costs",IF(ROUND($N80*100,0)*10000&lt;TargetH*ROUND($B80*100,0),"Below your target","Meets your target")))))</f>
        <v/>
      </c>
      <c r="S80" s="22" t="str">
        <f aca="false">IF(AND($A80="",$B80="",$C80="",$D80="",$E80="",$F80="",$G80="",$H80=""),"",TRIM(IF($A80="","Customer/site label is missing. ","")&amp;IF($B80="","Monthly fee is missing. ",IF(NOT(ISNUMBER($B80)),"Monthly fee must be a number. ",IF($B80&lt;0,"Monthly fee can't be negative. ",IF(ROUND($B80,2)&lt;&gt;$B80,"Monthly fee: use up to 2 decimal places. ",IF($B80&gt;99999.99,"Monthly fee: use 99,999.99 or less. ","")))))&amp;IF($C80="","Visits per month is missing. ",IF(NOT(ISNUMBER($C80)),"Visits per month must be a number. ",IF($C80&lt;0,"Visits per month can't be negative. ",IF(ROUND($C80,3)&lt;&gt;$C80,"Visits per month: use up to 3 decimal places. ",IF($C80=0,"Visits per month must be more than 0. ",IF($C80&gt;31,"Visits per month: use 31 or less. ",""))))))&amp;IF($D80="","Service minutes per visit is missing. ",IF(NOT(ISNUMBER($D80)),"Service minutes per visit must be a number. ",IF($D80&lt;0,"Service minutes per visit can't be negative. ",IF(ROUND($D80,2)&lt;&gt;$D80,"Service minutes per visit: use up to 2 decimal places. ",IF($D80=0,"Service minutes per visit must be more than 0. ",IF($D80&gt;600,"Service minutes per visit: use 600 or less. ",""))))))&amp;IF($E80="","Drive minutes per visit is missing. ",IF(NOT(ISNUMBER($E80)),"Drive minutes per visit must be a number. ",IF($E80&lt;0,"Drive minutes per visit can't be negative. ",IF(ROUND($E80,2)&lt;&gt;$E80,"Drive minutes per visit: use up to 2 decimal places. ",IF($E80&gt;600,"Drive minutes per visit: use 600 or less. ","")))))&amp;IF($F80="","Drive miles per visit is missing. ",IF(NOT(ISNUMBER($F80)),"Drive miles per visit must be a number. ",IF($F80&lt;0,"Drive miles per visit can't be negative. ",IF(ROUND($F80,2)&lt;&gt;$F80,"Drive miles per visit: use up to 2 decimal places. ",IF($F80&gt;1000,"Drive miles per visit: use 1,000 or less. ","")))))&amp;IF($G80="","Chemicals per visit is missing. ",IF(NOT(ISNUMBER($G80)),"Chemicals per visit must be a number. ",IF($G80&lt;0,"Chemicals per visit can't be negative. ",IF(ROUND($G80,2)&lt;&gt;$G80,"Chemicals per visit: use up to 2 decimal places. ",IF($G80&gt;9999.99,"Chemicals per visit: use 9,999.99 or less. ","")))))&amp;IF($H80="","Other monthly costs is missing. ",IF(NOT(ISNUMBER($H80)),"Other monthly costs must be a number. ",IF($H80&lt;0,"Other monthly costs can't be negative. ",IF(ROUND($H80,2)&lt;&gt;$H80,"Other monthly costs: use up to 2 decimal places. ",IF($H80&gt;99999.99,"Other monthly costs: use 99,999.99 or less. ","")))))&amp;IF(SettingsOK,"","Settings incomplete.")))</f>
        <v/>
      </c>
      <c r="T80" s="23" t="str">
        <f aca="false">IF(AND($A80="",$B80="",$C80="",$D80="",$E80="",$F80="",$G80="",$H80=""),"",IF(Review!$B$5="Check inputs",IF($R80="Check inputs",ROW(),""),IF($R80="Check inputs",IF(Review!$B$5="All accounts",-2000000000000000+ROW(),""),IF(AND(Review!$B$5="Needs review",$R80="Meets your target"),"",IF($R80="No fee entered",-1000000000000000+ROW(),$N80/$B80+ROW()/1000000000)))))</f>
        <v/>
      </c>
    </row>
    <row r="81" customFormat="false" ht="15" hidden="false" customHeight="false" outlineLevel="0" collapsed="false">
      <c r="A81" s="14"/>
      <c r="B81" s="15"/>
      <c r="C81" s="16"/>
      <c r="D81" s="14"/>
      <c r="E81" s="14"/>
      <c r="F81" s="14"/>
      <c r="G81" s="15"/>
      <c r="H81" s="15"/>
      <c r="I81" s="17" t="str">
        <f aca="false">IF(OR(AND($A81="",$B81="",$C81="",$D81="",$E81="",$F81="",$G81="",$H81=""),NOT($S81="")),"",ROUND($C81*($D81+$E81)/60,4))</f>
        <v/>
      </c>
      <c r="J81" s="18" t="str">
        <f aca="false">IF(OR(AND($A81="",$B81="",$C81="",$D81="",$E81="",$F81="",$G81="",$H81=""),NOT($S81="")),"",ROUND(ROUND($C81*($D81+$E81)/60*$B$5,9),2))</f>
        <v/>
      </c>
      <c r="K81" s="18" t="str">
        <f aca="false">IF(OR(AND($A81="",$B81="",$C81="",$D81="",$E81="",$F81="",$G81="",$H81=""),NOT($S81="")),"",ROUND(ROUND($C81*$F81*$B$6,9),2))</f>
        <v/>
      </c>
      <c r="L81" s="18" t="str">
        <f aca="false">IF(OR(AND($A81="",$B81="",$C81="",$D81="",$E81="",$F81="",$G81="",$H81=""),NOT($S81="")),"",ROUND(ROUND($C81*$G81,9),2))</f>
        <v/>
      </c>
      <c r="M81" s="19" t="str">
        <f aca="false">IF(OR(AND($A81="",$B81="",$C81="",$D81="",$E81="",$F81="",$G81="",$H81=""),NOT($S81="")),"",ROUND($J81+$K81+$L81+$H81,2))</f>
        <v/>
      </c>
      <c r="N81" s="19" t="str">
        <f aca="false">IF(OR(AND($A81="",$B81="",$C81="",$D81="",$E81="",$F81="",$G81="",$H81=""),NOT($S81="")),"",ROUND($B81-$M81,2))</f>
        <v/>
      </c>
      <c r="O81" s="20" t="str">
        <f aca="false">IF(OR(AND($A81="",$B81="",$C81="",$D81="",$E81="",$F81="",$G81="",$H81=""),NOT($S81="")),"",IF($B81=0,"n/a",INT(ROUND($N81/$B81*10000,6))/10000))</f>
        <v/>
      </c>
      <c r="P81" s="18" t="str">
        <f aca="false">IF(OR(AND($A81="",$B81="",$C81="",$D81="",$E81="",$F81="",$G81="",$H81=""),NOT($S81="")),"",ROUNDUP(ROUND($M81*10000/(10000-TargetH),9),2))</f>
        <v/>
      </c>
      <c r="Q81" s="18" t="str">
        <f aca="false">IF(OR(AND($A81="",$B81="",$C81="",$D81="",$E81="",$F81="",$G81="",$H81=""),NOT($S81="")),"",MAX(0,ROUND($P81-$B81,2)))</f>
        <v/>
      </c>
      <c r="R81" s="21" t="str">
        <f aca="false">IF(AND($A81="",$B81="",$C81="",$D81="",$E81="",$F81="",$G81="",$H81=""),"",IF(NOT($S81=""),"Check inputs",IF($B81=0,"No fee entered",IF($N81&lt;0,"Losing money on entered costs",IF(ROUND($N81*100,0)*10000&lt;TargetH*ROUND($B81*100,0),"Below your target","Meets your target")))))</f>
        <v/>
      </c>
      <c r="S81" s="22" t="str">
        <f aca="false">IF(AND($A81="",$B81="",$C81="",$D81="",$E81="",$F81="",$G81="",$H81=""),"",TRIM(IF($A81="","Customer/site label is missing. ","")&amp;IF($B81="","Monthly fee is missing. ",IF(NOT(ISNUMBER($B81)),"Monthly fee must be a number. ",IF($B81&lt;0,"Monthly fee can't be negative. ",IF(ROUND($B81,2)&lt;&gt;$B81,"Monthly fee: use up to 2 decimal places. ",IF($B81&gt;99999.99,"Monthly fee: use 99,999.99 or less. ","")))))&amp;IF($C81="","Visits per month is missing. ",IF(NOT(ISNUMBER($C81)),"Visits per month must be a number. ",IF($C81&lt;0,"Visits per month can't be negative. ",IF(ROUND($C81,3)&lt;&gt;$C81,"Visits per month: use up to 3 decimal places. ",IF($C81=0,"Visits per month must be more than 0. ",IF($C81&gt;31,"Visits per month: use 31 or less. ",""))))))&amp;IF($D81="","Service minutes per visit is missing. ",IF(NOT(ISNUMBER($D81)),"Service minutes per visit must be a number. ",IF($D81&lt;0,"Service minutes per visit can't be negative. ",IF(ROUND($D81,2)&lt;&gt;$D81,"Service minutes per visit: use up to 2 decimal places. ",IF($D81=0,"Service minutes per visit must be more than 0. ",IF($D81&gt;600,"Service minutes per visit: use 600 or less. ",""))))))&amp;IF($E81="","Drive minutes per visit is missing. ",IF(NOT(ISNUMBER($E81)),"Drive minutes per visit must be a number. ",IF($E81&lt;0,"Drive minutes per visit can't be negative. ",IF(ROUND($E81,2)&lt;&gt;$E81,"Drive minutes per visit: use up to 2 decimal places. ",IF($E81&gt;600,"Drive minutes per visit: use 600 or less. ","")))))&amp;IF($F81="","Drive miles per visit is missing. ",IF(NOT(ISNUMBER($F81)),"Drive miles per visit must be a number. ",IF($F81&lt;0,"Drive miles per visit can't be negative. ",IF(ROUND($F81,2)&lt;&gt;$F81,"Drive miles per visit: use up to 2 decimal places. ",IF($F81&gt;1000,"Drive miles per visit: use 1,000 or less. ","")))))&amp;IF($G81="","Chemicals per visit is missing. ",IF(NOT(ISNUMBER($G81)),"Chemicals per visit must be a number. ",IF($G81&lt;0,"Chemicals per visit can't be negative. ",IF(ROUND($G81,2)&lt;&gt;$G81,"Chemicals per visit: use up to 2 decimal places. ",IF($G81&gt;9999.99,"Chemicals per visit: use 9,999.99 or less. ","")))))&amp;IF($H81="","Other monthly costs is missing. ",IF(NOT(ISNUMBER($H81)),"Other monthly costs must be a number. ",IF($H81&lt;0,"Other monthly costs can't be negative. ",IF(ROUND($H81,2)&lt;&gt;$H81,"Other monthly costs: use up to 2 decimal places. ",IF($H81&gt;99999.99,"Other monthly costs: use 99,999.99 or less. ","")))))&amp;IF(SettingsOK,"","Settings incomplete.")))</f>
        <v/>
      </c>
      <c r="T81" s="23" t="str">
        <f aca="false">IF(AND($A81="",$B81="",$C81="",$D81="",$E81="",$F81="",$G81="",$H81=""),"",IF(Review!$B$5="Check inputs",IF($R81="Check inputs",ROW(),""),IF($R81="Check inputs",IF(Review!$B$5="All accounts",-2000000000000000+ROW(),""),IF(AND(Review!$B$5="Needs review",$R81="Meets your target"),"",IF($R81="No fee entered",-1000000000000000+ROW(),$N81/$B81+ROW()/1000000000)))))</f>
        <v/>
      </c>
    </row>
    <row r="82" customFormat="false" ht="15" hidden="false" customHeight="false" outlineLevel="0" collapsed="false">
      <c r="A82" s="14"/>
      <c r="B82" s="15"/>
      <c r="C82" s="16"/>
      <c r="D82" s="14"/>
      <c r="E82" s="14"/>
      <c r="F82" s="14"/>
      <c r="G82" s="15"/>
      <c r="H82" s="15"/>
      <c r="I82" s="17" t="str">
        <f aca="false">IF(OR(AND($A82="",$B82="",$C82="",$D82="",$E82="",$F82="",$G82="",$H82=""),NOT($S82="")),"",ROUND($C82*($D82+$E82)/60,4))</f>
        <v/>
      </c>
      <c r="J82" s="18" t="str">
        <f aca="false">IF(OR(AND($A82="",$B82="",$C82="",$D82="",$E82="",$F82="",$G82="",$H82=""),NOT($S82="")),"",ROUND(ROUND($C82*($D82+$E82)/60*$B$5,9),2))</f>
        <v/>
      </c>
      <c r="K82" s="18" t="str">
        <f aca="false">IF(OR(AND($A82="",$B82="",$C82="",$D82="",$E82="",$F82="",$G82="",$H82=""),NOT($S82="")),"",ROUND(ROUND($C82*$F82*$B$6,9),2))</f>
        <v/>
      </c>
      <c r="L82" s="18" t="str">
        <f aca="false">IF(OR(AND($A82="",$B82="",$C82="",$D82="",$E82="",$F82="",$G82="",$H82=""),NOT($S82="")),"",ROUND(ROUND($C82*$G82,9),2))</f>
        <v/>
      </c>
      <c r="M82" s="19" t="str">
        <f aca="false">IF(OR(AND($A82="",$B82="",$C82="",$D82="",$E82="",$F82="",$G82="",$H82=""),NOT($S82="")),"",ROUND($J82+$K82+$L82+$H82,2))</f>
        <v/>
      </c>
      <c r="N82" s="19" t="str">
        <f aca="false">IF(OR(AND($A82="",$B82="",$C82="",$D82="",$E82="",$F82="",$G82="",$H82=""),NOT($S82="")),"",ROUND($B82-$M82,2))</f>
        <v/>
      </c>
      <c r="O82" s="20" t="str">
        <f aca="false">IF(OR(AND($A82="",$B82="",$C82="",$D82="",$E82="",$F82="",$G82="",$H82=""),NOT($S82="")),"",IF($B82=0,"n/a",INT(ROUND($N82/$B82*10000,6))/10000))</f>
        <v/>
      </c>
      <c r="P82" s="18" t="str">
        <f aca="false">IF(OR(AND($A82="",$B82="",$C82="",$D82="",$E82="",$F82="",$G82="",$H82=""),NOT($S82="")),"",ROUNDUP(ROUND($M82*10000/(10000-TargetH),9),2))</f>
        <v/>
      </c>
      <c r="Q82" s="18" t="str">
        <f aca="false">IF(OR(AND($A82="",$B82="",$C82="",$D82="",$E82="",$F82="",$G82="",$H82=""),NOT($S82="")),"",MAX(0,ROUND($P82-$B82,2)))</f>
        <v/>
      </c>
      <c r="R82" s="21" t="str">
        <f aca="false">IF(AND($A82="",$B82="",$C82="",$D82="",$E82="",$F82="",$G82="",$H82=""),"",IF(NOT($S82=""),"Check inputs",IF($B82=0,"No fee entered",IF($N82&lt;0,"Losing money on entered costs",IF(ROUND($N82*100,0)*10000&lt;TargetH*ROUND($B82*100,0),"Below your target","Meets your target")))))</f>
        <v/>
      </c>
      <c r="S82" s="22" t="str">
        <f aca="false">IF(AND($A82="",$B82="",$C82="",$D82="",$E82="",$F82="",$G82="",$H82=""),"",TRIM(IF($A82="","Customer/site label is missing. ","")&amp;IF($B82="","Monthly fee is missing. ",IF(NOT(ISNUMBER($B82)),"Monthly fee must be a number. ",IF($B82&lt;0,"Monthly fee can't be negative. ",IF(ROUND($B82,2)&lt;&gt;$B82,"Monthly fee: use up to 2 decimal places. ",IF($B82&gt;99999.99,"Monthly fee: use 99,999.99 or less. ","")))))&amp;IF($C82="","Visits per month is missing. ",IF(NOT(ISNUMBER($C82)),"Visits per month must be a number. ",IF($C82&lt;0,"Visits per month can't be negative. ",IF(ROUND($C82,3)&lt;&gt;$C82,"Visits per month: use up to 3 decimal places. ",IF($C82=0,"Visits per month must be more than 0. ",IF($C82&gt;31,"Visits per month: use 31 or less. ",""))))))&amp;IF($D82="","Service minutes per visit is missing. ",IF(NOT(ISNUMBER($D82)),"Service minutes per visit must be a number. ",IF($D82&lt;0,"Service minutes per visit can't be negative. ",IF(ROUND($D82,2)&lt;&gt;$D82,"Service minutes per visit: use up to 2 decimal places. ",IF($D82=0,"Service minutes per visit must be more than 0. ",IF($D82&gt;600,"Service minutes per visit: use 600 or less. ",""))))))&amp;IF($E82="","Drive minutes per visit is missing. ",IF(NOT(ISNUMBER($E82)),"Drive minutes per visit must be a number. ",IF($E82&lt;0,"Drive minutes per visit can't be negative. ",IF(ROUND($E82,2)&lt;&gt;$E82,"Drive minutes per visit: use up to 2 decimal places. ",IF($E82&gt;600,"Drive minutes per visit: use 600 or less. ","")))))&amp;IF($F82="","Drive miles per visit is missing. ",IF(NOT(ISNUMBER($F82)),"Drive miles per visit must be a number. ",IF($F82&lt;0,"Drive miles per visit can't be negative. ",IF(ROUND($F82,2)&lt;&gt;$F82,"Drive miles per visit: use up to 2 decimal places. ",IF($F82&gt;1000,"Drive miles per visit: use 1,000 or less. ","")))))&amp;IF($G82="","Chemicals per visit is missing. ",IF(NOT(ISNUMBER($G82)),"Chemicals per visit must be a number. ",IF($G82&lt;0,"Chemicals per visit can't be negative. ",IF(ROUND($G82,2)&lt;&gt;$G82,"Chemicals per visit: use up to 2 decimal places. ",IF($G82&gt;9999.99,"Chemicals per visit: use 9,999.99 or less. ","")))))&amp;IF($H82="","Other monthly costs is missing. ",IF(NOT(ISNUMBER($H82)),"Other monthly costs must be a number. ",IF($H82&lt;0,"Other monthly costs can't be negative. ",IF(ROUND($H82,2)&lt;&gt;$H82,"Other monthly costs: use up to 2 decimal places. ",IF($H82&gt;99999.99,"Other monthly costs: use 99,999.99 or less. ","")))))&amp;IF(SettingsOK,"","Settings incomplete.")))</f>
        <v/>
      </c>
      <c r="T82" s="23" t="str">
        <f aca="false">IF(AND($A82="",$B82="",$C82="",$D82="",$E82="",$F82="",$G82="",$H82=""),"",IF(Review!$B$5="Check inputs",IF($R82="Check inputs",ROW(),""),IF($R82="Check inputs",IF(Review!$B$5="All accounts",-2000000000000000+ROW(),""),IF(AND(Review!$B$5="Needs review",$R82="Meets your target"),"",IF($R82="No fee entered",-1000000000000000+ROW(),$N82/$B82+ROW()/1000000000)))))</f>
        <v/>
      </c>
    </row>
    <row r="83" customFormat="false" ht="15" hidden="false" customHeight="false" outlineLevel="0" collapsed="false">
      <c r="A83" s="14"/>
      <c r="B83" s="15"/>
      <c r="C83" s="16"/>
      <c r="D83" s="14"/>
      <c r="E83" s="14"/>
      <c r="F83" s="14"/>
      <c r="G83" s="15"/>
      <c r="H83" s="15"/>
      <c r="I83" s="17" t="str">
        <f aca="false">IF(OR(AND($A83="",$B83="",$C83="",$D83="",$E83="",$F83="",$G83="",$H83=""),NOT($S83="")),"",ROUND($C83*($D83+$E83)/60,4))</f>
        <v/>
      </c>
      <c r="J83" s="18" t="str">
        <f aca="false">IF(OR(AND($A83="",$B83="",$C83="",$D83="",$E83="",$F83="",$G83="",$H83=""),NOT($S83="")),"",ROUND(ROUND($C83*($D83+$E83)/60*$B$5,9),2))</f>
        <v/>
      </c>
      <c r="K83" s="18" t="str">
        <f aca="false">IF(OR(AND($A83="",$B83="",$C83="",$D83="",$E83="",$F83="",$G83="",$H83=""),NOT($S83="")),"",ROUND(ROUND($C83*$F83*$B$6,9),2))</f>
        <v/>
      </c>
      <c r="L83" s="18" t="str">
        <f aca="false">IF(OR(AND($A83="",$B83="",$C83="",$D83="",$E83="",$F83="",$G83="",$H83=""),NOT($S83="")),"",ROUND(ROUND($C83*$G83,9),2))</f>
        <v/>
      </c>
      <c r="M83" s="19" t="str">
        <f aca="false">IF(OR(AND($A83="",$B83="",$C83="",$D83="",$E83="",$F83="",$G83="",$H83=""),NOT($S83="")),"",ROUND($J83+$K83+$L83+$H83,2))</f>
        <v/>
      </c>
      <c r="N83" s="19" t="str">
        <f aca="false">IF(OR(AND($A83="",$B83="",$C83="",$D83="",$E83="",$F83="",$G83="",$H83=""),NOT($S83="")),"",ROUND($B83-$M83,2))</f>
        <v/>
      </c>
      <c r="O83" s="20" t="str">
        <f aca="false">IF(OR(AND($A83="",$B83="",$C83="",$D83="",$E83="",$F83="",$G83="",$H83=""),NOT($S83="")),"",IF($B83=0,"n/a",INT(ROUND($N83/$B83*10000,6))/10000))</f>
        <v/>
      </c>
      <c r="P83" s="18" t="str">
        <f aca="false">IF(OR(AND($A83="",$B83="",$C83="",$D83="",$E83="",$F83="",$G83="",$H83=""),NOT($S83="")),"",ROUNDUP(ROUND($M83*10000/(10000-TargetH),9),2))</f>
        <v/>
      </c>
      <c r="Q83" s="18" t="str">
        <f aca="false">IF(OR(AND($A83="",$B83="",$C83="",$D83="",$E83="",$F83="",$G83="",$H83=""),NOT($S83="")),"",MAX(0,ROUND($P83-$B83,2)))</f>
        <v/>
      </c>
      <c r="R83" s="21" t="str">
        <f aca="false">IF(AND($A83="",$B83="",$C83="",$D83="",$E83="",$F83="",$G83="",$H83=""),"",IF(NOT($S83=""),"Check inputs",IF($B83=0,"No fee entered",IF($N83&lt;0,"Losing money on entered costs",IF(ROUND($N83*100,0)*10000&lt;TargetH*ROUND($B83*100,0),"Below your target","Meets your target")))))</f>
        <v/>
      </c>
      <c r="S83" s="22" t="str">
        <f aca="false">IF(AND($A83="",$B83="",$C83="",$D83="",$E83="",$F83="",$G83="",$H83=""),"",TRIM(IF($A83="","Customer/site label is missing. ","")&amp;IF($B83="","Monthly fee is missing. ",IF(NOT(ISNUMBER($B83)),"Monthly fee must be a number. ",IF($B83&lt;0,"Monthly fee can't be negative. ",IF(ROUND($B83,2)&lt;&gt;$B83,"Monthly fee: use up to 2 decimal places. ",IF($B83&gt;99999.99,"Monthly fee: use 99,999.99 or less. ","")))))&amp;IF($C83="","Visits per month is missing. ",IF(NOT(ISNUMBER($C83)),"Visits per month must be a number. ",IF($C83&lt;0,"Visits per month can't be negative. ",IF(ROUND($C83,3)&lt;&gt;$C83,"Visits per month: use up to 3 decimal places. ",IF($C83=0,"Visits per month must be more than 0. ",IF($C83&gt;31,"Visits per month: use 31 or less. ",""))))))&amp;IF($D83="","Service minutes per visit is missing. ",IF(NOT(ISNUMBER($D83)),"Service minutes per visit must be a number. ",IF($D83&lt;0,"Service minutes per visit can't be negative. ",IF(ROUND($D83,2)&lt;&gt;$D83,"Service minutes per visit: use up to 2 decimal places. ",IF($D83=0,"Service minutes per visit must be more than 0. ",IF($D83&gt;600,"Service minutes per visit: use 600 or less. ",""))))))&amp;IF($E83="","Drive minutes per visit is missing. ",IF(NOT(ISNUMBER($E83)),"Drive minutes per visit must be a number. ",IF($E83&lt;0,"Drive minutes per visit can't be negative. ",IF(ROUND($E83,2)&lt;&gt;$E83,"Drive minutes per visit: use up to 2 decimal places. ",IF($E83&gt;600,"Drive minutes per visit: use 600 or less. ","")))))&amp;IF($F83="","Drive miles per visit is missing. ",IF(NOT(ISNUMBER($F83)),"Drive miles per visit must be a number. ",IF($F83&lt;0,"Drive miles per visit can't be negative. ",IF(ROUND($F83,2)&lt;&gt;$F83,"Drive miles per visit: use up to 2 decimal places. ",IF($F83&gt;1000,"Drive miles per visit: use 1,000 or less. ","")))))&amp;IF($G83="","Chemicals per visit is missing. ",IF(NOT(ISNUMBER($G83)),"Chemicals per visit must be a number. ",IF($G83&lt;0,"Chemicals per visit can't be negative. ",IF(ROUND($G83,2)&lt;&gt;$G83,"Chemicals per visit: use up to 2 decimal places. ",IF($G83&gt;9999.99,"Chemicals per visit: use 9,999.99 or less. ","")))))&amp;IF($H83="","Other monthly costs is missing. ",IF(NOT(ISNUMBER($H83)),"Other monthly costs must be a number. ",IF($H83&lt;0,"Other monthly costs can't be negative. ",IF(ROUND($H83,2)&lt;&gt;$H83,"Other monthly costs: use up to 2 decimal places. ",IF($H83&gt;99999.99,"Other monthly costs: use 99,999.99 or less. ","")))))&amp;IF(SettingsOK,"","Settings incomplete.")))</f>
        <v/>
      </c>
      <c r="T83" s="23" t="str">
        <f aca="false">IF(AND($A83="",$B83="",$C83="",$D83="",$E83="",$F83="",$G83="",$H83=""),"",IF(Review!$B$5="Check inputs",IF($R83="Check inputs",ROW(),""),IF($R83="Check inputs",IF(Review!$B$5="All accounts",-2000000000000000+ROW(),""),IF(AND(Review!$B$5="Needs review",$R83="Meets your target"),"",IF($R83="No fee entered",-1000000000000000+ROW(),$N83/$B83+ROW()/1000000000)))))</f>
        <v/>
      </c>
    </row>
    <row r="84" customFormat="false" ht="15" hidden="false" customHeight="false" outlineLevel="0" collapsed="false">
      <c r="A84" s="14"/>
      <c r="B84" s="15"/>
      <c r="C84" s="16"/>
      <c r="D84" s="14"/>
      <c r="E84" s="14"/>
      <c r="F84" s="14"/>
      <c r="G84" s="15"/>
      <c r="H84" s="15"/>
      <c r="I84" s="17" t="str">
        <f aca="false">IF(OR(AND($A84="",$B84="",$C84="",$D84="",$E84="",$F84="",$G84="",$H84=""),NOT($S84="")),"",ROUND($C84*($D84+$E84)/60,4))</f>
        <v/>
      </c>
      <c r="J84" s="18" t="str">
        <f aca="false">IF(OR(AND($A84="",$B84="",$C84="",$D84="",$E84="",$F84="",$G84="",$H84=""),NOT($S84="")),"",ROUND(ROUND($C84*($D84+$E84)/60*$B$5,9),2))</f>
        <v/>
      </c>
      <c r="K84" s="18" t="str">
        <f aca="false">IF(OR(AND($A84="",$B84="",$C84="",$D84="",$E84="",$F84="",$G84="",$H84=""),NOT($S84="")),"",ROUND(ROUND($C84*$F84*$B$6,9),2))</f>
        <v/>
      </c>
      <c r="L84" s="18" t="str">
        <f aca="false">IF(OR(AND($A84="",$B84="",$C84="",$D84="",$E84="",$F84="",$G84="",$H84=""),NOT($S84="")),"",ROUND(ROUND($C84*$G84,9),2))</f>
        <v/>
      </c>
      <c r="M84" s="19" t="str">
        <f aca="false">IF(OR(AND($A84="",$B84="",$C84="",$D84="",$E84="",$F84="",$G84="",$H84=""),NOT($S84="")),"",ROUND($J84+$K84+$L84+$H84,2))</f>
        <v/>
      </c>
      <c r="N84" s="19" t="str">
        <f aca="false">IF(OR(AND($A84="",$B84="",$C84="",$D84="",$E84="",$F84="",$G84="",$H84=""),NOT($S84="")),"",ROUND($B84-$M84,2))</f>
        <v/>
      </c>
      <c r="O84" s="20" t="str">
        <f aca="false">IF(OR(AND($A84="",$B84="",$C84="",$D84="",$E84="",$F84="",$G84="",$H84=""),NOT($S84="")),"",IF($B84=0,"n/a",INT(ROUND($N84/$B84*10000,6))/10000))</f>
        <v/>
      </c>
      <c r="P84" s="18" t="str">
        <f aca="false">IF(OR(AND($A84="",$B84="",$C84="",$D84="",$E84="",$F84="",$G84="",$H84=""),NOT($S84="")),"",ROUNDUP(ROUND($M84*10000/(10000-TargetH),9),2))</f>
        <v/>
      </c>
      <c r="Q84" s="18" t="str">
        <f aca="false">IF(OR(AND($A84="",$B84="",$C84="",$D84="",$E84="",$F84="",$G84="",$H84=""),NOT($S84="")),"",MAX(0,ROUND($P84-$B84,2)))</f>
        <v/>
      </c>
      <c r="R84" s="21" t="str">
        <f aca="false">IF(AND($A84="",$B84="",$C84="",$D84="",$E84="",$F84="",$G84="",$H84=""),"",IF(NOT($S84=""),"Check inputs",IF($B84=0,"No fee entered",IF($N84&lt;0,"Losing money on entered costs",IF(ROUND($N84*100,0)*10000&lt;TargetH*ROUND($B84*100,0),"Below your target","Meets your target")))))</f>
        <v/>
      </c>
      <c r="S84" s="22" t="str">
        <f aca="false">IF(AND($A84="",$B84="",$C84="",$D84="",$E84="",$F84="",$G84="",$H84=""),"",TRIM(IF($A84="","Customer/site label is missing. ","")&amp;IF($B84="","Monthly fee is missing. ",IF(NOT(ISNUMBER($B84)),"Monthly fee must be a number. ",IF($B84&lt;0,"Monthly fee can't be negative. ",IF(ROUND($B84,2)&lt;&gt;$B84,"Monthly fee: use up to 2 decimal places. ",IF($B84&gt;99999.99,"Monthly fee: use 99,999.99 or less. ","")))))&amp;IF($C84="","Visits per month is missing. ",IF(NOT(ISNUMBER($C84)),"Visits per month must be a number. ",IF($C84&lt;0,"Visits per month can't be negative. ",IF(ROUND($C84,3)&lt;&gt;$C84,"Visits per month: use up to 3 decimal places. ",IF($C84=0,"Visits per month must be more than 0. ",IF($C84&gt;31,"Visits per month: use 31 or less. ",""))))))&amp;IF($D84="","Service minutes per visit is missing. ",IF(NOT(ISNUMBER($D84)),"Service minutes per visit must be a number. ",IF($D84&lt;0,"Service minutes per visit can't be negative. ",IF(ROUND($D84,2)&lt;&gt;$D84,"Service minutes per visit: use up to 2 decimal places. ",IF($D84=0,"Service minutes per visit must be more than 0. ",IF($D84&gt;600,"Service minutes per visit: use 600 or less. ",""))))))&amp;IF($E84="","Drive minutes per visit is missing. ",IF(NOT(ISNUMBER($E84)),"Drive minutes per visit must be a number. ",IF($E84&lt;0,"Drive minutes per visit can't be negative. ",IF(ROUND($E84,2)&lt;&gt;$E84,"Drive minutes per visit: use up to 2 decimal places. ",IF($E84&gt;600,"Drive minutes per visit: use 600 or less. ","")))))&amp;IF($F84="","Drive miles per visit is missing. ",IF(NOT(ISNUMBER($F84)),"Drive miles per visit must be a number. ",IF($F84&lt;0,"Drive miles per visit can't be negative. ",IF(ROUND($F84,2)&lt;&gt;$F84,"Drive miles per visit: use up to 2 decimal places. ",IF($F84&gt;1000,"Drive miles per visit: use 1,000 or less. ","")))))&amp;IF($G84="","Chemicals per visit is missing. ",IF(NOT(ISNUMBER($G84)),"Chemicals per visit must be a number. ",IF($G84&lt;0,"Chemicals per visit can't be negative. ",IF(ROUND($G84,2)&lt;&gt;$G84,"Chemicals per visit: use up to 2 decimal places. ",IF($G84&gt;9999.99,"Chemicals per visit: use 9,999.99 or less. ","")))))&amp;IF($H84="","Other monthly costs is missing. ",IF(NOT(ISNUMBER($H84)),"Other monthly costs must be a number. ",IF($H84&lt;0,"Other monthly costs can't be negative. ",IF(ROUND($H84,2)&lt;&gt;$H84,"Other monthly costs: use up to 2 decimal places. ",IF($H84&gt;99999.99,"Other monthly costs: use 99,999.99 or less. ","")))))&amp;IF(SettingsOK,"","Settings incomplete.")))</f>
        <v/>
      </c>
      <c r="T84" s="23" t="str">
        <f aca="false">IF(AND($A84="",$B84="",$C84="",$D84="",$E84="",$F84="",$G84="",$H84=""),"",IF(Review!$B$5="Check inputs",IF($R84="Check inputs",ROW(),""),IF($R84="Check inputs",IF(Review!$B$5="All accounts",-2000000000000000+ROW(),""),IF(AND(Review!$B$5="Needs review",$R84="Meets your target"),"",IF($R84="No fee entered",-1000000000000000+ROW(),$N84/$B84+ROW()/1000000000)))))</f>
        <v/>
      </c>
    </row>
    <row r="85" customFormat="false" ht="15" hidden="false" customHeight="false" outlineLevel="0" collapsed="false">
      <c r="A85" s="14"/>
      <c r="B85" s="15"/>
      <c r="C85" s="16"/>
      <c r="D85" s="14"/>
      <c r="E85" s="14"/>
      <c r="F85" s="14"/>
      <c r="G85" s="15"/>
      <c r="H85" s="15"/>
      <c r="I85" s="17" t="str">
        <f aca="false">IF(OR(AND($A85="",$B85="",$C85="",$D85="",$E85="",$F85="",$G85="",$H85=""),NOT($S85="")),"",ROUND($C85*($D85+$E85)/60,4))</f>
        <v/>
      </c>
      <c r="J85" s="18" t="str">
        <f aca="false">IF(OR(AND($A85="",$B85="",$C85="",$D85="",$E85="",$F85="",$G85="",$H85=""),NOT($S85="")),"",ROUND(ROUND($C85*($D85+$E85)/60*$B$5,9),2))</f>
        <v/>
      </c>
      <c r="K85" s="18" t="str">
        <f aca="false">IF(OR(AND($A85="",$B85="",$C85="",$D85="",$E85="",$F85="",$G85="",$H85=""),NOT($S85="")),"",ROUND(ROUND($C85*$F85*$B$6,9),2))</f>
        <v/>
      </c>
      <c r="L85" s="18" t="str">
        <f aca="false">IF(OR(AND($A85="",$B85="",$C85="",$D85="",$E85="",$F85="",$G85="",$H85=""),NOT($S85="")),"",ROUND(ROUND($C85*$G85,9),2))</f>
        <v/>
      </c>
      <c r="M85" s="19" t="str">
        <f aca="false">IF(OR(AND($A85="",$B85="",$C85="",$D85="",$E85="",$F85="",$G85="",$H85=""),NOT($S85="")),"",ROUND($J85+$K85+$L85+$H85,2))</f>
        <v/>
      </c>
      <c r="N85" s="19" t="str">
        <f aca="false">IF(OR(AND($A85="",$B85="",$C85="",$D85="",$E85="",$F85="",$G85="",$H85=""),NOT($S85="")),"",ROUND($B85-$M85,2))</f>
        <v/>
      </c>
      <c r="O85" s="20" t="str">
        <f aca="false">IF(OR(AND($A85="",$B85="",$C85="",$D85="",$E85="",$F85="",$G85="",$H85=""),NOT($S85="")),"",IF($B85=0,"n/a",INT(ROUND($N85/$B85*10000,6))/10000))</f>
        <v/>
      </c>
      <c r="P85" s="18" t="str">
        <f aca="false">IF(OR(AND($A85="",$B85="",$C85="",$D85="",$E85="",$F85="",$G85="",$H85=""),NOT($S85="")),"",ROUNDUP(ROUND($M85*10000/(10000-TargetH),9),2))</f>
        <v/>
      </c>
      <c r="Q85" s="18" t="str">
        <f aca="false">IF(OR(AND($A85="",$B85="",$C85="",$D85="",$E85="",$F85="",$G85="",$H85=""),NOT($S85="")),"",MAX(0,ROUND($P85-$B85,2)))</f>
        <v/>
      </c>
      <c r="R85" s="21" t="str">
        <f aca="false">IF(AND($A85="",$B85="",$C85="",$D85="",$E85="",$F85="",$G85="",$H85=""),"",IF(NOT($S85=""),"Check inputs",IF($B85=0,"No fee entered",IF($N85&lt;0,"Losing money on entered costs",IF(ROUND($N85*100,0)*10000&lt;TargetH*ROUND($B85*100,0),"Below your target","Meets your target")))))</f>
        <v/>
      </c>
      <c r="S85" s="22" t="str">
        <f aca="false">IF(AND($A85="",$B85="",$C85="",$D85="",$E85="",$F85="",$G85="",$H85=""),"",TRIM(IF($A85="","Customer/site label is missing. ","")&amp;IF($B85="","Monthly fee is missing. ",IF(NOT(ISNUMBER($B85)),"Monthly fee must be a number. ",IF($B85&lt;0,"Monthly fee can't be negative. ",IF(ROUND($B85,2)&lt;&gt;$B85,"Monthly fee: use up to 2 decimal places. ",IF($B85&gt;99999.99,"Monthly fee: use 99,999.99 or less. ","")))))&amp;IF($C85="","Visits per month is missing. ",IF(NOT(ISNUMBER($C85)),"Visits per month must be a number. ",IF($C85&lt;0,"Visits per month can't be negative. ",IF(ROUND($C85,3)&lt;&gt;$C85,"Visits per month: use up to 3 decimal places. ",IF($C85=0,"Visits per month must be more than 0. ",IF($C85&gt;31,"Visits per month: use 31 or less. ",""))))))&amp;IF($D85="","Service minutes per visit is missing. ",IF(NOT(ISNUMBER($D85)),"Service minutes per visit must be a number. ",IF($D85&lt;0,"Service minutes per visit can't be negative. ",IF(ROUND($D85,2)&lt;&gt;$D85,"Service minutes per visit: use up to 2 decimal places. ",IF($D85=0,"Service minutes per visit must be more than 0. ",IF($D85&gt;600,"Service minutes per visit: use 600 or less. ",""))))))&amp;IF($E85="","Drive minutes per visit is missing. ",IF(NOT(ISNUMBER($E85)),"Drive minutes per visit must be a number. ",IF($E85&lt;0,"Drive minutes per visit can't be negative. ",IF(ROUND($E85,2)&lt;&gt;$E85,"Drive minutes per visit: use up to 2 decimal places. ",IF($E85&gt;600,"Drive minutes per visit: use 600 or less. ","")))))&amp;IF($F85="","Drive miles per visit is missing. ",IF(NOT(ISNUMBER($F85)),"Drive miles per visit must be a number. ",IF($F85&lt;0,"Drive miles per visit can't be negative. ",IF(ROUND($F85,2)&lt;&gt;$F85,"Drive miles per visit: use up to 2 decimal places. ",IF($F85&gt;1000,"Drive miles per visit: use 1,000 or less. ","")))))&amp;IF($G85="","Chemicals per visit is missing. ",IF(NOT(ISNUMBER($G85)),"Chemicals per visit must be a number. ",IF($G85&lt;0,"Chemicals per visit can't be negative. ",IF(ROUND($G85,2)&lt;&gt;$G85,"Chemicals per visit: use up to 2 decimal places. ",IF($G85&gt;9999.99,"Chemicals per visit: use 9,999.99 or less. ","")))))&amp;IF($H85="","Other monthly costs is missing. ",IF(NOT(ISNUMBER($H85)),"Other monthly costs must be a number. ",IF($H85&lt;0,"Other monthly costs can't be negative. ",IF(ROUND($H85,2)&lt;&gt;$H85,"Other monthly costs: use up to 2 decimal places. ",IF($H85&gt;99999.99,"Other monthly costs: use 99,999.99 or less. ","")))))&amp;IF(SettingsOK,"","Settings incomplete.")))</f>
        <v/>
      </c>
      <c r="T85" s="23" t="str">
        <f aca="false">IF(AND($A85="",$B85="",$C85="",$D85="",$E85="",$F85="",$G85="",$H85=""),"",IF(Review!$B$5="Check inputs",IF($R85="Check inputs",ROW(),""),IF($R85="Check inputs",IF(Review!$B$5="All accounts",-2000000000000000+ROW(),""),IF(AND(Review!$B$5="Needs review",$R85="Meets your target"),"",IF($R85="No fee entered",-1000000000000000+ROW(),$N85/$B85+ROW()/1000000000)))))</f>
        <v/>
      </c>
    </row>
    <row r="86" customFormat="false" ht="15" hidden="false" customHeight="false" outlineLevel="0" collapsed="false">
      <c r="A86" s="14"/>
      <c r="B86" s="15"/>
      <c r="C86" s="16"/>
      <c r="D86" s="14"/>
      <c r="E86" s="14"/>
      <c r="F86" s="14"/>
      <c r="G86" s="15"/>
      <c r="H86" s="15"/>
      <c r="I86" s="17" t="str">
        <f aca="false">IF(OR(AND($A86="",$B86="",$C86="",$D86="",$E86="",$F86="",$G86="",$H86=""),NOT($S86="")),"",ROUND($C86*($D86+$E86)/60,4))</f>
        <v/>
      </c>
      <c r="J86" s="18" t="str">
        <f aca="false">IF(OR(AND($A86="",$B86="",$C86="",$D86="",$E86="",$F86="",$G86="",$H86=""),NOT($S86="")),"",ROUND(ROUND($C86*($D86+$E86)/60*$B$5,9),2))</f>
        <v/>
      </c>
      <c r="K86" s="18" t="str">
        <f aca="false">IF(OR(AND($A86="",$B86="",$C86="",$D86="",$E86="",$F86="",$G86="",$H86=""),NOT($S86="")),"",ROUND(ROUND($C86*$F86*$B$6,9),2))</f>
        <v/>
      </c>
      <c r="L86" s="18" t="str">
        <f aca="false">IF(OR(AND($A86="",$B86="",$C86="",$D86="",$E86="",$F86="",$G86="",$H86=""),NOT($S86="")),"",ROUND(ROUND($C86*$G86,9),2))</f>
        <v/>
      </c>
      <c r="M86" s="19" t="str">
        <f aca="false">IF(OR(AND($A86="",$B86="",$C86="",$D86="",$E86="",$F86="",$G86="",$H86=""),NOT($S86="")),"",ROUND($J86+$K86+$L86+$H86,2))</f>
        <v/>
      </c>
      <c r="N86" s="19" t="str">
        <f aca="false">IF(OR(AND($A86="",$B86="",$C86="",$D86="",$E86="",$F86="",$G86="",$H86=""),NOT($S86="")),"",ROUND($B86-$M86,2))</f>
        <v/>
      </c>
      <c r="O86" s="20" t="str">
        <f aca="false">IF(OR(AND($A86="",$B86="",$C86="",$D86="",$E86="",$F86="",$G86="",$H86=""),NOT($S86="")),"",IF($B86=0,"n/a",INT(ROUND($N86/$B86*10000,6))/10000))</f>
        <v/>
      </c>
      <c r="P86" s="18" t="str">
        <f aca="false">IF(OR(AND($A86="",$B86="",$C86="",$D86="",$E86="",$F86="",$G86="",$H86=""),NOT($S86="")),"",ROUNDUP(ROUND($M86*10000/(10000-TargetH),9),2))</f>
        <v/>
      </c>
      <c r="Q86" s="18" t="str">
        <f aca="false">IF(OR(AND($A86="",$B86="",$C86="",$D86="",$E86="",$F86="",$G86="",$H86=""),NOT($S86="")),"",MAX(0,ROUND($P86-$B86,2)))</f>
        <v/>
      </c>
      <c r="R86" s="21" t="str">
        <f aca="false">IF(AND($A86="",$B86="",$C86="",$D86="",$E86="",$F86="",$G86="",$H86=""),"",IF(NOT($S86=""),"Check inputs",IF($B86=0,"No fee entered",IF($N86&lt;0,"Losing money on entered costs",IF(ROUND($N86*100,0)*10000&lt;TargetH*ROUND($B86*100,0),"Below your target","Meets your target")))))</f>
        <v/>
      </c>
      <c r="S86" s="22" t="str">
        <f aca="false">IF(AND($A86="",$B86="",$C86="",$D86="",$E86="",$F86="",$G86="",$H86=""),"",TRIM(IF($A86="","Customer/site label is missing. ","")&amp;IF($B86="","Monthly fee is missing. ",IF(NOT(ISNUMBER($B86)),"Monthly fee must be a number. ",IF($B86&lt;0,"Monthly fee can't be negative. ",IF(ROUND($B86,2)&lt;&gt;$B86,"Monthly fee: use up to 2 decimal places. ",IF($B86&gt;99999.99,"Monthly fee: use 99,999.99 or less. ","")))))&amp;IF($C86="","Visits per month is missing. ",IF(NOT(ISNUMBER($C86)),"Visits per month must be a number. ",IF($C86&lt;0,"Visits per month can't be negative. ",IF(ROUND($C86,3)&lt;&gt;$C86,"Visits per month: use up to 3 decimal places. ",IF($C86=0,"Visits per month must be more than 0. ",IF($C86&gt;31,"Visits per month: use 31 or less. ",""))))))&amp;IF($D86="","Service minutes per visit is missing. ",IF(NOT(ISNUMBER($D86)),"Service minutes per visit must be a number. ",IF($D86&lt;0,"Service minutes per visit can't be negative. ",IF(ROUND($D86,2)&lt;&gt;$D86,"Service minutes per visit: use up to 2 decimal places. ",IF($D86=0,"Service minutes per visit must be more than 0. ",IF($D86&gt;600,"Service minutes per visit: use 600 or less. ",""))))))&amp;IF($E86="","Drive minutes per visit is missing. ",IF(NOT(ISNUMBER($E86)),"Drive minutes per visit must be a number. ",IF($E86&lt;0,"Drive minutes per visit can't be negative. ",IF(ROUND($E86,2)&lt;&gt;$E86,"Drive minutes per visit: use up to 2 decimal places. ",IF($E86&gt;600,"Drive minutes per visit: use 600 or less. ","")))))&amp;IF($F86="","Drive miles per visit is missing. ",IF(NOT(ISNUMBER($F86)),"Drive miles per visit must be a number. ",IF($F86&lt;0,"Drive miles per visit can't be negative. ",IF(ROUND($F86,2)&lt;&gt;$F86,"Drive miles per visit: use up to 2 decimal places. ",IF($F86&gt;1000,"Drive miles per visit: use 1,000 or less. ","")))))&amp;IF($G86="","Chemicals per visit is missing. ",IF(NOT(ISNUMBER($G86)),"Chemicals per visit must be a number. ",IF($G86&lt;0,"Chemicals per visit can't be negative. ",IF(ROUND($G86,2)&lt;&gt;$G86,"Chemicals per visit: use up to 2 decimal places. ",IF($G86&gt;9999.99,"Chemicals per visit: use 9,999.99 or less. ","")))))&amp;IF($H86="","Other monthly costs is missing. ",IF(NOT(ISNUMBER($H86)),"Other monthly costs must be a number. ",IF($H86&lt;0,"Other monthly costs can't be negative. ",IF(ROUND($H86,2)&lt;&gt;$H86,"Other monthly costs: use up to 2 decimal places. ",IF($H86&gt;99999.99,"Other monthly costs: use 99,999.99 or less. ","")))))&amp;IF(SettingsOK,"","Settings incomplete.")))</f>
        <v/>
      </c>
      <c r="T86" s="23" t="str">
        <f aca="false">IF(AND($A86="",$B86="",$C86="",$D86="",$E86="",$F86="",$G86="",$H86=""),"",IF(Review!$B$5="Check inputs",IF($R86="Check inputs",ROW(),""),IF($R86="Check inputs",IF(Review!$B$5="All accounts",-2000000000000000+ROW(),""),IF(AND(Review!$B$5="Needs review",$R86="Meets your target"),"",IF($R86="No fee entered",-1000000000000000+ROW(),$N86/$B86+ROW()/1000000000)))))</f>
        <v/>
      </c>
    </row>
    <row r="87" customFormat="false" ht="15" hidden="false" customHeight="false" outlineLevel="0" collapsed="false">
      <c r="A87" s="14"/>
      <c r="B87" s="15"/>
      <c r="C87" s="16"/>
      <c r="D87" s="14"/>
      <c r="E87" s="14"/>
      <c r="F87" s="14"/>
      <c r="G87" s="15"/>
      <c r="H87" s="15"/>
      <c r="I87" s="17" t="str">
        <f aca="false">IF(OR(AND($A87="",$B87="",$C87="",$D87="",$E87="",$F87="",$G87="",$H87=""),NOT($S87="")),"",ROUND($C87*($D87+$E87)/60,4))</f>
        <v/>
      </c>
      <c r="J87" s="18" t="str">
        <f aca="false">IF(OR(AND($A87="",$B87="",$C87="",$D87="",$E87="",$F87="",$G87="",$H87=""),NOT($S87="")),"",ROUND(ROUND($C87*($D87+$E87)/60*$B$5,9),2))</f>
        <v/>
      </c>
      <c r="K87" s="18" t="str">
        <f aca="false">IF(OR(AND($A87="",$B87="",$C87="",$D87="",$E87="",$F87="",$G87="",$H87=""),NOT($S87="")),"",ROUND(ROUND($C87*$F87*$B$6,9),2))</f>
        <v/>
      </c>
      <c r="L87" s="18" t="str">
        <f aca="false">IF(OR(AND($A87="",$B87="",$C87="",$D87="",$E87="",$F87="",$G87="",$H87=""),NOT($S87="")),"",ROUND(ROUND($C87*$G87,9),2))</f>
        <v/>
      </c>
      <c r="M87" s="19" t="str">
        <f aca="false">IF(OR(AND($A87="",$B87="",$C87="",$D87="",$E87="",$F87="",$G87="",$H87=""),NOT($S87="")),"",ROUND($J87+$K87+$L87+$H87,2))</f>
        <v/>
      </c>
      <c r="N87" s="19" t="str">
        <f aca="false">IF(OR(AND($A87="",$B87="",$C87="",$D87="",$E87="",$F87="",$G87="",$H87=""),NOT($S87="")),"",ROUND($B87-$M87,2))</f>
        <v/>
      </c>
      <c r="O87" s="20" t="str">
        <f aca="false">IF(OR(AND($A87="",$B87="",$C87="",$D87="",$E87="",$F87="",$G87="",$H87=""),NOT($S87="")),"",IF($B87=0,"n/a",INT(ROUND($N87/$B87*10000,6))/10000))</f>
        <v/>
      </c>
      <c r="P87" s="18" t="str">
        <f aca="false">IF(OR(AND($A87="",$B87="",$C87="",$D87="",$E87="",$F87="",$G87="",$H87=""),NOT($S87="")),"",ROUNDUP(ROUND($M87*10000/(10000-TargetH),9),2))</f>
        <v/>
      </c>
      <c r="Q87" s="18" t="str">
        <f aca="false">IF(OR(AND($A87="",$B87="",$C87="",$D87="",$E87="",$F87="",$G87="",$H87=""),NOT($S87="")),"",MAX(0,ROUND($P87-$B87,2)))</f>
        <v/>
      </c>
      <c r="R87" s="21" t="str">
        <f aca="false">IF(AND($A87="",$B87="",$C87="",$D87="",$E87="",$F87="",$G87="",$H87=""),"",IF(NOT($S87=""),"Check inputs",IF($B87=0,"No fee entered",IF($N87&lt;0,"Losing money on entered costs",IF(ROUND($N87*100,0)*10000&lt;TargetH*ROUND($B87*100,0),"Below your target","Meets your target")))))</f>
        <v/>
      </c>
      <c r="S87" s="22" t="str">
        <f aca="false">IF(AND($A87="",$B87="",$C87="",$D87="",$E87="",$F87="",$G87="",$H87=""),"",TRIM(IF($A87="","Customer/site label is missing. ","")&amp;IF($B87="","Monthly fee is missing. ",IF(NOT(ISNUMBER($B87)),"Monthly fee must be a number. ",IF($B87&lt;0,"Monthly fee can't be negative. ",IF(ROUND($B87,2)&lt;&gt;$B87,"Monthly fee: use up to 2 decimal places. ",IF($B87&gt;99999.99,"Monthly fee: use 99,999.99 or less. ","")))))&amp;IF($C87="","Visits per month is missing. ",IF(NOT(ISNUMBER($C87)),"Visits per month must be a number. ",IF($C87&lt;0,"Visits per month can't be negative. ",IF(ROUND($C87,3)&lt;&gt;$C87,"Visits per month: use up to 3 decimal places. ",IF($C87=0,"Visits per month must be more than 0. ",IF($C87&gt;31,"Visits per month: use 31 or less. ",""))))))&amp;IF($D87="","Service minutes per visit is missing. ",IF(NOT(ISNUMBER($D87)),"Service minutes per visit must be a number. ",IF($D87&lt;0,"Service minutes per visit can't be negative. ",IF(ROUND($D87,2)&lt;&gt;$D87,"Service minutes per visit: use up to 2 decimal places. ",IF($D87=0,"Service minutes per visit must be more than 0. ",IF($D87&gt;600,"Service minutes per visit: use 600 or less. ",""))))))&amp;IF($E87="","Drive minutes per visit is missing. ",IF(NOT(ISNUMBER($E87)),"Drive minutes per visit must be a number. ",IF($E87&lt;0,"Drive minutes per visit can't be negative. ",IF(ROUND($E87,2)&lt;&gt;$E87,"Drive minutes per visit: use up to 2 decimal places. ",IF($E87&gt;600,"Drive minutes per visit: use 600 or less. ","")))))&amp;IF($F87="","Drive miles per visit is missing. ",IF(NOT(ISNUMBER($F87)),"Drive miles per visit must be a number. ",IF($F87&lt;0,"Drive miles per visit can't be negative. ",IF(ROUND($F87,2)&lt;&gt;$F87,"Drive miles per visit: use up to 2 decimal places. ",IF($F87&gt;1000,"Drive miles per visit: use 1,000 or less. ","")))))&amp;IF($G87="","Chemicals per visit is missing. ",IF(NOT(ISNUMBER($G87)),"Chemicals per visit must be a number. ",IF($G87&lt;0,"Chemicals per visit can't be negative. ",IF(ROUND($G87,2)&lt;&gt;$G87,"Chemicals per visit: use up to 2 decimal places. ",IF($G87&gt;9999.99,"Chemicals per visit: use 9,999.99 or less. ","")))))&amp;IF($H87="","Other monthly costs is missing. ",IF(NOT(ISNUMBER($H87)),"Other monthly costs must be a number. ",IF($H87&lt;0,"Other monthly costs can't be negative. ",IF(ROUND($H87,2)&lt;&gt;$H87,"Other monthly costs: use up to 2 decimal places. ",IF($H87&gt;99999.99,"Other monthly costs: use 99,999.99 or less. ","")))))&amp;IF(SettingsOK,"","Settings incomplete.")))</f>
        <v/>
      </c>
      <c r="T87" s="23" t="str">
        <f aca="false">IF(AND($A87="",$B87="",$C87="",$D87="",$E87="",$F87="",$G87="",$H87=""),"",IF(Review!$B$5="Check inputs",IF($R87="Check inputs",ROW(),""),IF($R87="Check inputs",IF(Review!$B$5="All accounts",-2000000000000000+ROW(),""),IF(AND(Review!$B$5="Needs review",$R87="Meets your target"),"",IF($R87="No fee entered",-1000000000000000+ROW(),$N87/$B87+ROW()/1000000000)))))</f>
        <v/>
      </c>
    </row>
    <row r="88" customFormat="false" ht="15" hidden="false" customHeight="false" outlineLevel="0" collapsed="false">
      <c r="A88" s="14"/>
      <c r="B88" s="15"/>
      <c r="C88" s="16"/>
      <c r="D88" s="14"/>
      <c r="E88" s="14"/>
      <c r="F88" s="14"/>
      <c r="G88" s="15"/>
      <c r="H88" s="15"/>
      <c r="I88" s="17" t="str">
        <f aca="false">IF(OR(AND($A88="",$B88="",$C88="",$D88="",$E88="",$F88="",$G88="",$H88=""),NOT($S88="")),"",ROUND($C88*($D88+$E88)/60,4))</f>
        <v/>
      </c>
      <c r="J88" s="18" t="str">
        <f aca="false">IF(OR(AND($A88="",$B88="",$C88="",$D88="",$E88="",$F88="",$G88="",$H88=""),NOT($S88="")),"",ROUND(ROUND($C88*($D88+$E88)/60*$B$5,9),2))</f>
        <v/>
      </c>
      <c r="K88" s="18" t="str">
        <f aca="false">IF(OR(AND($A88="",$B88="",$C88="",$D88="",$E88="",$F88="",$G88="",$H88=""),NOT($S88="")),"",ROUND(ROUND($C88*$F88*$B$6,9),2))</f>
        <v/>
      </c>
      <c r="L88" s="18" t="str">
        <f aca="false">IF(OR(AND($A88="",$B88="",$C88="",$D88="",$E88="",$F88="",$G88="",$H88=""),NOT($S88="")),"",ROUND(ROUND($C88*$G88,9),2))</f>
        <v/>
      </c>
      <c r="M88" s="19" t="str">
        <f aca="false">IF(OR(AND($A88="",$B88="",$C88="",$D88="",$E88="",$F88="",$G88="",$H88=""),NOT($S88="")),"",ROUND($J88+$K88+$L88+$H88,2))</f>
        <v/>
      </c>
      <c r="N88" s="19" t="str">
        <f aca="false">IF(OR(AND($A88="",$B88="",$C88="",$D88="",$E88="",$F88="",$G88="",$H88=""),NOT($S88="")),"",ROUND($B88-$M88,2))</f>
        <v/>
      </c>
      <c r="O88" s="20" t="str">
        <f aca="false">IF(OR(AND($A88="",$B88="",$C88="",$D88="",$E88="",$F88="",$G88="",$H88=""),NOT($S88="")),"",IF($B88=0,"n/a",INT(ROUND($N88/$B88*10000,6))/10000))</f>
        <v/>
      </c>
      <c r="P88" s="18" t="str">
        <f aca="false">IF(OR(AND($A88="",$B88="",$C88="",$D88="",$E88="",$F88="",$G88="",$H88=""),NOT($S88="")),"",ROUNDUP(ROUND($M88*10000/(10000-TargetH),9),2))</f>
        <v/>
      </c>
      <c r="Q88" s="18" t="str">
        <f aca="false">IF(OR(AND($A88="",$B88="",$C88="",$D88="",$E88="",$F88="",$G88="",$H88=""),NOT($S88="")),"",MAX(0,ROUND($P88-$B88,2)))</f>
        <v/>
      </c>
      <c r="R88" s="21" t="str">
        <f aca="false">IF(AND($A88="",$B88="",$C88="",$D88="",$E88="",$F88="",$G88="",$H88=""),"",IF(NOT($S88=""),"Check inputs",IF($B88=0,"No fee entered",IF($N88&lt;0,"Losing money on entered costs",IF(ROUND($N88*100,0)*10000&lt;TargetH*ROUND($B88*100,0),"Below your target","Meets your target")))))</f>
        <v/>
      </c>
      <c r="S88" s="22" t="str">
        <f aca="false">IF(AND($A88="",$B88="",$C88="",$D88="",$E88="",$F88="",$G88="",$H88=""),"",TRIM(IF($A88="","Customer/site label is missing. ","")&amp;IF($B88="","Monthly fee is missing. ",IF(NOT(ISNUMBER($B88)),"Monthly fee must be a number. ",IF($B88&lt;0,"Monthly fee can't be negative. ",IF(ROUND($B88,2)&lt;&gt;$B88,"Monthly fee: use up to 2 decimal places. ",IF($B88&gt;99999.99,"Monthly fee: use 99,999.99 or less. ","")))))&amp;IF($C88="","Visits per month is missing. ",IF(NOT(ISNUMBER($C88)),"Visits per month must be a number. ",IF($C88&lt;0,"Visits per month can't be negative. ",IF(ROUND($C88,3)&lt;&gt;$C88,"Visits per month: use up to 3 decimal places. ",IF($C88=0,"Visits per month must be more than 0. ",IF($C88&gt;31,"Visits per month: use 31 or less. ",""))))))&amp;IF($D88="","Service minutes per visit is missing. ",IF(NOT(ISNUMBER($D88)),"Service minutes per visit must be a number. ",IF($D88&lt;0,"Service minutes per visit can't be negative. ",IF(ROUND($D88,2)&lt;&gt;$D88,"Service minutes per visit: use up to 2 decimal places. ",IF($D88=0,"Service minutes per visit must be more than 0. ",IF($D88&gt;600,"Service minutes per visit: use 600 or less. ",""))))))&amp;IF($E88="","Drive minutes per visit is missing. ",IF(NOT(ISNUMBER($E88)),"Drive minutes per visit must be a number. ",IF($E88&lt;0,"Drive minutes per visit can't be negative. ",IF(ROUND($E88,2)&lt;&gt;$E88,"Drive minutes per visit: use up to 2 decimal places. ",IF($E88&gt;600,"Drive minutes per visit: use 600 or less. ","")))))&amp;IF($F88="","Drive miles per visit is missing. ",IF(NOT(ISNUMBER($F88)),"Drive miles per visit must be a number. ",IF($F88&lt;0,"Drive miles per visit can't be negative. ",IF(ROUND($F88,2)&lt;&gt;$F88,"Drive miles per visit: use up to 2 decimal places. ",IF($F88&gt;1000,"Drive miles per visit: use 1,000 or less. ","")))))&amp;IF($G88="","Chemicals per visit is missing. ",IF(NOT(ISNUMBER($G88)),"Chemicals per visit must be a number. ",IF($G88&lt;0,"Chemicals per visit can't be negative. ",IF(ROUND($G88,2)&lt;&gt;$G88,"Chemicals per visit: use up to 2 decimal places. ",IF($G88&gt;9999.99,"Chemicals per visit: use 9,999.99 or less. ","")))))&amp;IF($H88="","Other monthly costs is missing. ",IF(NOT(ISNUMBER($H88)),"Other monthly costs must be a number. ",IF($H88&lt;0,"Other monthly costs can't be negative. ",IF(ROUND($H88,2)&lt;&gt;$H88,"Other monthly costs: use up to 2 decimal places. ",IF($H88&gt;99999.99,"Other monthly costs: use 99,999.99 or less. ","")))))&amp;IF(SettingsOK,"","Settings incomplete.")))</f>
        <v/>
      </c>
      <c r="T88" s="23" t="str">
        <f aca="false">IF(AND($A88="",$B88="",$C88="",$D88="",$E88="",$F88="",$G88="",$H88=""),"",IF(Review!$B$5="Check inputs",IF($R88="Check inputs",ROW(),""),IF($R88="Check inputs",IF(Review!$B$5="All accounts",-2000000000000000+ROW(),""),IF(AND(Review!$B$5="Needs review",$R88="Meets your target"),"",IF($R88="No fee entered",-1000000000000000+ROW(),$N88/$B88+ROW()/1000000000)))))</f>
        <v/>
      </c>
    </row>
    <row r="89" customFormat="false" ht="15" hidden="false" customHeight="false" outlineLevel="0" collapsed="false">
      <c r="A89" s="14"/>
      <c r="B89" s="15"/>
      <c r="C89" s="16"/>
      <c r="D89" s="14"/>
      <c r="E89" s="14"/>
      <c r="F89" s="14"/>
      <c r="G89" s="15"/>
      <c r="H89" s="15"/>
      <c r="I89" s="17" t="str">
        <f aca="false">IF(OR(AND($A89="",$B89="",$C89="",$D89="",$E89="",$F89="",$G89="",$H89=""),NOT($S89="")),"",ROUND($C89*($D89+$E89)/60,4))</f>
        <v/>
      </c>
      <c r="J89" s="18" t="str">
        <f aca="false">IF(OR(AND($A89="",$B89="",$C89="",$D89="",$E89="",$F89="",$G89="",$H89=""),NOT($S89="")),"",ROUND(ROUND($C89*($D89+$E89)/60*$B$5,9),2))</f>
        <v/>
      </c>
      <c r="K89" s="18" t="str">
        <f aca="false">IF(OR(AND($A89="",$B89="",$C89="",$D89="",$E89="",$F89="",$G89="",$H89=""),NOT($S89="")),"",ROUND(ROUND($C89*$F89*$B$6,9),2))</f>
        <v/>
      </c>
      <c r="L89" s="18" t="str">
        <f aca="false">IF(OR(AND($A89="",$B89="",$C89="",$D89="",$E89="",$F89="",$G89="",$H89=""),NOT($S89="")),"",ROUND(ROUND($C89*$G89,9),2))</f>
        <v/>
      </c>
      <c r="M89" s="19" t="str">
        <f aca="false">IF(OR(AND($A89="",$B89="",$C89="",$D89="",$E89="",$F89="",$G89="",$H89=""),NOT($S89="")),"",ROUND($J89+$K89+$L89+$H89,2))</f>
        <v/>
      </c>
      <c r="N89" s="19" t="str">
        <f aca="false">IF(OR(AND($A89="",$B89="",$C89="",$D89="",$E89="",$F89="",$G89="",$H89=""),NOT($S89="")),"",ROUND($B89-$M89,2))</f>
        <v/>
      </c>
      <c r="O89" s="20" t="str">
        <f aca="false">IF(OR(AND($A89="",$B89="",$C89="",$D89="",$E89="",$F89="",$G89="",$H89=""),NOT($S89="")),"",IF($B89=0,"n/a",INT(ROUND($N89/$B89*10000,6))/10000))</f>
        <v/>
      </c>
      <c r="P89" s="18" t="str">
        <f aca="false">IF(OR(AND($A89="",$B89="",$C89="",$D89="",$E89="",$F89="",$G89="",$H89=""),NOT($S89="")),"",ROUNDUP(ROUND($M89*10000/(10000-TargetH),9),2))</f>
        <v/>
      </c>
      <c r="Q89" s="18" t="str">
        <f aca="false">IF(OR(AND($A89="",$B89="",$C89="",$D89="",$E89="",$F89="",$G89="",$H89=""),NOT($S89="")),"",MAX(0,ROUND($P89-$B89,2)))</f>
        <v/>
      </c>
      <c r="R89" s="21" t="str">
        <f aca="false">IF(AND($A89="",$B89="",$C89="",$D89="",$E89="",$F89="",$G89="",$H89=""),"",IF(NOT($S89=""),"Check inputs",IF($B89=0,"No fee entered",IF($N89&lt;0,"Losing money on entered costs",IF(ROUND($N89*100,0)*10000&lt;TargetH*ROUND($B89*100,0),"Below your target","Meets your target")))))</f>
        <v/>
      </c>
      <c r="S89" s="22" t="str">
        <f aca="false">IF(AND($A89="",$B89="",$C89="",$D89="",$E89="",$F89="",$G89="",$H89=""),"",TRIM(IF($A89="","Customer/site label is missing. ","")&amp;IF($B89="","Monthly fee is missing. ",IF(NOT(ISNUMBER($B89)),"Monthly fee must be a number. ",IF($B89&lt;0,"Monthly fee can't be negative. ",IF(ROUND($B89,2)&lt;&gt;$B89,"Monthly fee: use up to 2 decimal places. ",IF($B89&gt;99999.99,"Monthly fee: use 99,999.99 or less. ","")))))&amp;IF($C89="","Visits per month is missing. ",IF(NOT(ISNUMBER($C89)),"Visits per month must be a number. ",IF($C89&lt;0,"Visits per month can't be negative. ",IF(ROUND($C89,3)&lt;&gt;$C89,"Visits per month: use up to 3 decimal places. ",IF($C89=0,"Visits per month must be more than 0. ",IF($C89&gt;31,"Visits per month: use 31 or less. ",""))))))&amp;IF($D89="","Service minutes per visit is missing. ",IF(NOT(ISNUMBER($D89)),"Service minutes per visit must be a number. ",IF($D89&lt;0,"Service minutes per visit can't be negative. ",IF(ROUND($D89,2)&lt;&gt;$D89,"Service minutes per visit: use up to 2 decimal places. ",IF($D89=0,"Service minutes per visit must be more than 0. ",IF($D89&gt;600,"Service minutes per visit: use 600 or less. ",""))))))&amp;IF($E89="","Drive minutes per visit is missing. ",IF(NOT(ISNUMBER($E89)),"Drive minutes per visit must be a number. ",IF($E89&lt;0,"Drive minutes per visit can't be negative. ",IF(ROUND($E89,2)&lt;&gt;$E89,"Drive minutes per visit: use up to 2 decimal places. ",IF($E89&gt;600,"Drive minutes per visit: use 600 or less. ","")))))&amp;IF($F89="","Drive miles per visit is missing. ",IF(NOT(ISNUMBER($F89)),"Drive miles per visit must be a number. ",IF($F89&lt;0,"Drive miles per visit can't be negative. ",IF(ROUND($F89,2)&lt;&gt;$F89,"Drive miles per visit: use up to 2 decimal places. ",IF($F89&gt;1000,"Drive miles per visit: use 1,000 or less. ","")))))&amp;IF($G89="","Chemicals per visit is missing. ",IF(NOT(ISNUMBER($G89)),"Chemicals per visit must be a number. ",IF($G89&lt;0,"Chemicals per visit can't be negative. ",IF(ROUND($G89,2)&lt;&gt;$G89,"Chemicals per visit: use up to 2 decimal places. ",IF($G89&gt;9999.99,"Chemicals per visit: use 9,999.99 or less. ","")))))&amp;IF($H89="","Other monthly costs is missing. ",IF(NOT(ISNUMBER($H89)),"Other monthly costs must be a number. ",IF($H89&lt;0,"Other monthly costs can't be negative. ",IF(ROUND($H89,2)&lt;&gt;$H89,"Other monthly costs: use up to 2 decimal places. ",IF($H89&gt;99999.99,"Other monthly costs: use 99,999.99 or less. ","")))))&amp;IF(SettingsOK,"","Settings incomplete.")))</f>
        <v/>
      </c>
      <c r="T89" s="23" t="str">
        <f aca="false">IF(AND($A89="",$B89="",$C89="",$D89="",$E89="",$F89="",$G89="",$H89=""),"",IF(Review!$B$5="Check inputs",IF($R89="Check inputs",ROW(),""),IF($R89="Check inputs",IF(Review!$B$5="All accounts",-2000000000000000+ROW(),""),IF(AND(Review!$B$5="Needs review",$R89="Meets your target"),"",IF($R89="No fee entered",-1000000000000000+ROW(),$N89/$B89+ROW()/1000000000)))))</f>
        <v/>
      </c>
    </row>
    <row r="90" customFormat="false" ht="15" hidden="false" customHeight="false" outlineLevel="0" collapsed="false">
      <c r="A90" s="14"/>
      <c r="B90" s="15"/>
      <c r="C90" s="16"/>
      <c r="D90" s="14"/>
      <c r="E90" s="14"/>
      <c r="F90" s="14"/>
      <c r="G90" s="15"/>
      <c r="H90" s="15"/>
      <c r="I90" s="17" t="str">
        <f aca="false">IF(OR(AND($A90="",$B90="",$C90="",$D90="",$E90="",$F90="",$G90="",$H90=""),NOT($S90="")),"",ROUND($C90*($D90+$E90)/60,4))</f>
        <v/>
      </c>
      <c r="J90" s="18" t="str">
        <f aca="false">IF(OR(AND($A90="",$B90="",$C90="",$D90="",$E90="",$F90="",$G90="",$H90=""),NOT($S90="")),"",ROUND(ROUND($C90*($D90+$E90)/60*$B$5,9),2))</f>
        <v/>
      </c>
      <c r="K90" s="18" t="str">
        <f aca="false">IF(OR(AND($A90="",$B90="",$C90="",$D90="",$E90="",$F90="",$G90="",$H90=""),NOT($S90="")),"",ROUND(ROUND($C90*$F90*$B$6,9),2))</f>
        <v/>
      </c>
      <c r="L90" s="18" t="str">
        <f aca="false">IF(OR(AND($A90="",$B90="",$C90="",$D90="",$E90="",$F90="",$G90="",$H90=""),NOT($S90="")),"",ROUND(ROUND($C90*$G90,9),2))</f>
        <v/>
      </c>
      <c r="M90" s="19" t="str">
        <f aca="false">IF(OR(AND($A90="",$B90="",$C90="",$D90="",$E90="",$F90="",$G90="",$H90=""),NOT($S90="")),"",ROUND($J90+$K90+$L90+$H90,2))</f>
        <v/>
      </c>
      <c r="N90" s="19" t="str">
        <f aca="false">IF(OR(AND($A90="",$B90="",$C90="",$D90="",$E90="",$F90="",$G90="",$H90=""),NOT($S90="")),"",ROUND($B90-$M90,2))</f>
        <v/>
      </c>
      <c r="O90" s="20" t="str">
        <f aca="false">IF(OR(AND($A90="",$B90="",$C90="",$D90="",$E90="",$F90="",$G90="",$H90=""),NOT($S90="")),"",IF($B90=0,"n/a",INT(ROUND($N90/$B90*10000,6))/10000))</f>
        <v/>
      </c>
      <c r="P90" s="18" t="str">
        <f aca="false">IF(OR(AND($A90="",$B90="",$C90="",$D90="",$E90="",$F90="",$G90="",$H90=""),NOT($S90="")),"",ROUNDUP(ROUND($M90*10000/(10000-TargetH),9),2))</f>
        <v/>
      </c>
      <c r="Q90" s="18" t="str">
        <f aca="false">IF(OR(AND($A90="",$B90="",$C90="",$D90="",$E90="",$F90="",$G90="",$H90=""),NOT($S90="")),"",MAX(0,ROUND($P90-$B90,2)))</f>
        <v/>
      </c>
      <c r="R90" s="21" t="str">
        <f aca="false">IF(AND($A90="",$B90="",$C90="",$D90="",$E90="",$F90="",$G90="",$H90=""),"",IF(NOT($S90=""),"Check inputs",IF($B90=0,"No fee entered",IF($N90&lt;0,"Losing money on entered costs",IF(ROUND($N90*100,0)*10000&lt;TargetH*ROUND($B90*100,0),"Below your target","Meets your target")))))</f>
        <v/>
      </c>
      <c r="S90" s="22" t="str">
        <f aca="false">IF(AND($A90="",$B90="",$C90="",$D90="",$E90="",$F90="",$G90="",$H90=""),"",TRIM(IF($A90="","Customer/site label is missing. ","")&amp;IF($B90="","Monthly fee is missing. ",IF(NOT(ISNUMBER($B90)),"Monthly fee must be a number. ",IF($B90&lt;0,"Monthly fee can't be negative. ",IF(ROUND($B90,2)&lt;&gt;$B90,"Monthly fee: use up to 2 decimal places. ",IF($B90&gt;99999.99,"Monthly fee: use 99,999.99 or less. ","")))))&amp;IF($C90="","Visits per month is missing. ",IF(NOT(ISNUMBER($C90)),"Visits per month must be a number. ",IF($C90&lt;0,"Visits per month can't be negative. ",IF(ROUND($C90,3)&lt;&gt;$C90,"Visits per month: use up to 3 decimal places. ",IF($C90=0,"Visits per month must be more than 0. ",IF($C90&gt;31,"Visits per month: use 31 or less. ",""))))))&amp;IF($D90="","Service minutes per visit is missing. ",IF(NOT(ISNUMBER($D90)),"Service minutes per visit must be a number. ",IF($D90&lt;0,"Service minutes per visit can't be negative. ",IF(ROUND($D90,2)&lt;&gt;$D90,"Service minutes per visit: use up to 2 decimal places. ",IF($D90=0,"Service minutes per visit must be more than 0. ",IF($D90&gt;600,"Service minutes per visit: use 600 or less. ",""))))))&amp;IF($E90="","Drive minutes per visit is missing. ",IF(NOT(ISNUMBER($E90)),"Drive minutes per visit must be a number. ",IF($E90&lt;0,"Drive minutes per visit can't be negative. ",IF(ROUND($E90,2)&lt;&gt;$E90,"Drive minutes per visit: use up to 2 decimal places. ",IF($E90&gt;600,"Drive minutes per visit: use 600 or less. ","")))))&amp;IF($F90="","Drive miles per visit is missing. ",IF(NOT(ISNUMBER($F90)),"Drive miles per visit must be a number. ",IF($F90&lt;0,"Drive miles per visit can't be negative. ",IF(ROUND($F90,2)&lt;&gt;$F90,"Drive miles per visit: use up to 2 decimal places. ",IF($F90&gt;1000,"Drive miles per visit: use 1,000 or less. ","")))))&amp;IF($G90="","Chemicals per visit is missing. ",IF(NOT(ISNUMBER($G90)),"Chemicals per visit must be a number. ",IF($G90&lt;0,"Chemicals per visit can't be negative. ",IF(ROUND($G90,2)&lt;&gt;$G90,"Chemicals per visit: use up to 2 decimal places. ",IF($G90&gt;9999.99,"Chemicals per visit: use 9,999.99 or less. ","")))))&amp;IF($H90="","Other monthly costs is missing. ",IF(NOT(ISNUMBER($H90)),"Other monthly costs must be a number. ",IF($H90&lt;0,"Other monthly costs can't be negative. ",IF(ROUND($H90,2)&lt;&gt;$H90,"Other monthly costs: use up to 2 decimal places. ",IF($H90&gt;99999.99,"Other monthly costs: use 99,999.99 or less. ","")))))&amp;IF(SettingsOK,"","Settings incomplete.")))</f>
        <v/>
      </c>
      <c r="T90" s="23" t="str">
        <f aca="false">IF(AND($A90="",$B90="",$C90="",$D90="",$E90="",$F90="",$G90="",$H90=""),"",IF(Review!$B$5="Check inputs",IF($R90="Check inputs",ROW(),""),IF($R90="Check inputs",IF(Review!$B$5="All accounts",-2000000000000000+ROW(),""),IF(AND(Review!$B$5="Needs review",$R90="Meets your target"),"",IF($R90="No fee entered",-1000000000000000+ROW(),$N90/$B90+ROW()/1000000000)))))</f>
        <v/>
      </c>
    </row>
    <row r="91" customFormat="false" ht="15" hidden="false" customHeight="false" outlineLevel="0" collapsed="false">
      <c r="A91" s="14"/>
      <c r="B91" s="15"/>
      <c r="C91" s="16"/>
      <c r="D91" s="14"/>
      <c r="E91" s="14"/>
      <c r="F91" s="14"/>
      <c r="G91" s="15"/>
      <c r="H91" s="15"/>
      <c r="I91" s="17" t="str">
        <f aca="false">IF(OR(AND($A91="",$B91="",$C91="",$D91="",$E91="",$F91="",$G91="",$H91=""),NOT($S91="")),"",ROUND($C91*($D91+$E91)/60,4))</f>
        <v/>
      </c>
      <c r="J91" s="18" t="str">
        <f aca="false">IF(OR(AND($A91="",$B91="",$C91="",$D91="",$E91="",$F91="",$G91="",$H91=""),NOT($S91="")),"",ROUND(ROUND($C91*($D91+$E91)/60*$B$5,9),2))</f>
        <v/>
      </c>
      <c r="K91" s="18" t="str">
        <f aca="false">IF(OR(AND($A91="",$B91="",$C91="",$D91="",$E91="",$F91="",$G91="",$H91=""),NOT($S91="")),"",ROUND(ROUND($C91*$F91*$B$6,9),2))</f>
        <v/>
      </c>
      <c r="L91" s="18" t="str">
        <f aca="false">IF(OR(AND($A91="",$B91="",$C91="",$D91="",$E91="",$F91="",$G91="",$H91=""),NOT($S91="")),"",ROUND(ROUND($C91*$G91,9),2))</f>
        <v/>
      </c>
      <c r="M91" s="19" t="str">
        <f aca="false">IF(OR(AND($A91="",$B91="",$C91="",$D91="",$E91="",$F91="",$G91="",$H91=""),NOT($S91="")),"",ROUND($J91+$K91+$L91+$H91,2))</f>
        <v/>
      </c>
      <c r="N91" s="19" t="str">
        <f aca="false">IF(OR(AND($A91="",$B91="",$C91="",$D91="",$E91="",$F91="",$G91="",$H91=""),NOT($S91="")),"",ROUND($B91-$M91,2))</f>
        <v/>
      </c>
      <c r="O91" s="20" t="str">
        <f aca="false">IF(OR(AND($A91="",$B91="",$C91="",$D91="",$E91="",$F91="",$G91="",$H91=""),NOT($S91="")),"",IF($B91=0,"n/a",INT(ROUND($N91/$B91*10000,6))/10000))</f>
        <v/>
      </c>
      <c r="P91" s="18" t="str">
        <f aca="false">IF(OR(AND($A91="",$B91="",$C91="",$D91="",$E91="",$F91="",$G91="",$H91=""),NOT($S91="")),"",ROUNDUP(ROUND($M91*10000/(10000-TargetH),9),2))</f>
        <v/>
      </c>
      <c r="Q91" s="18" t="str">
        <f aca="false">IF(OR(AND($A91="",$B91="",$C91="",$D91="",$E91="",$F91="",$G91="",$H91=""),NOT($S91="")),"",MAX(0,ROUND($P91-$B91,2)))</f>
        <v/>
      </c>
      <c r="R91" s="21" t="str">
        <f aca="false">IF(AND($A91="",$B91="",$C91="",$D91="",$E91="",$F91="",$G91="",$H91=""),"",IF(NOT($S91=""),"Check inputs",IF($B91=0,"No fee entered",IF($N91&lt;0,"Losing money on entered costs",IF(ROUND($N91*100,0)*10000&lt;TargetH*ROUND($B91*100,0),"Below your target","Meets your target")))))</f>
        <v/>
      </c>
      <c r="S91" s="22" t="str">
        <f aca="false">IF(AND($A91="",$B91="",$C91="",$D91="",$E91="",$F91="",$G91="",$H91=""),"",TRIM(IF($A91="","Customer/site label is missing. ","")&amp;IF($B91="","Monthly fee is missing. ",IF(NOT(ISNUMBER($B91)),"Monthly fee must be a number. ",IF($B91&lt;0,"Monthly fee can't be negative. ",IF(ROUND($B91,2)&lt;&gt;$B91,"Monthly fee: use up to 2 decimal places. ",IF($B91&gt;99999.99,"Monthly fee: use 99,999.99 or less. ","")))))&amp;IF($C91="","Visits per month is missing. ",IF(NOT(ISNUMBER($C91)),"Visits per month must be a number. ",IF($C91&lt;0,"Visits per month can't be negative. ",IF(ROUND($C91,3)&lt;&gt;$C91,"Visits per month: use up to 3 decimal places. ",IF($C91=0,"Visits per month must be more than 0. ",IF($C91&gt;31,"Visits per month: use 31 or less. ",""))))))&amp;IF($D91="","Service minutes per visit is missing. ",IF(NOT(ISNUMBER($D91)),"Service minutes per visit must be a number. ",IF($D91&lt;0,"Service minutes per visit can't be negative. ",IF(ROUND($D91,2)&lt;&gt;$D91,"Service minutes per visit: use up to 2 decimal places. ",IF($D91=0,"Service minutes per visit must be more than 0. ",IF($D91&gt;600,"Service minutes per visit: use 600 or less. ",""))))))&amp;IF($E91="","Drive minutes per visit is missing. ",IF(NOT(ISNUMBER($E91)),"Drive minutes per visit must be a number. ",IF($E91&lt;0,"Drive minutes per visit can't be negative. ",IF(ROUND($E91,2)&lt;&gt;$E91,"Drive minutes per visit: use up to 2 decimal places. ",IF($E91&gt;600,"Drive minutes per visit: use 600 or less. ","")))))&amp;IF($F91="","Drive miles per visit is missing. ",IF(NOT(ISNUMBER($F91)),"Drive miles per visit must be a number. ",IF($F91&lt;0,"Drive miles per visit can't be negative. ",IF(ROUND($F91,2)&lt;&gt;$F91,"Drive miles per visit: use up to 2 decimal places. ",IF($F91&gt;1000,"Drive miles per visit: use 1,000 or less. ","")))))&amp;IF($G91="","Chemicals per visit is missing. ",IF(NOT(ISNUMBER($G91)),"Chemicals per visit must be a number. ",IF($G91&lt;0,"Chemicals per visit can't be negative. ",IF(ROUND($G91,2)&lt;&gt;$G91,"Chemicals per visit: use up to 2 decimal places. ",IF($G91&gt;9999.99,"Chemicals per visit: use 9,999.99 or less. ","")))))&amp;IF($H91="","Other monthly costs is missing. ",IF(NOT(ISNUMBER($H91)),"Other monthly costs must be a number. ",IF($H91&lt;0,"Other monthly costs can't be negative. ",IF(ROUND($H91,2)&lt;&gt;$H91,"Other monthly costs: use up to 2 decimal places. ",IF($H91&gt;99999.99,"Other monthly costs: use 99,999.99 or less. ","")))))&amp;IF(SettingsOK,"","Settings incomplete.")))</f>
        <v/>
      </c>
      <c r="T91" s="23" t="str">
        <f aca="false">IF(AND($A91="",$B91="",$C91="",$D91="",$E91="",$F91="",$G91="",$H91=""),"",IF(Review!$B$5="Check inputs",IF($R91="Check inputs",ROW(),""),IF($R91="Check inputs",IF(Review!$B$5="All accounts",-2000000000000000+ROW(),""),IF(AND(Review!$B$5="Needs review",$R91="Meets your target"),"",IF($R91="No fee entered",-1000000000000000+ROW(),$N91/$B91+ROW()/1000000000)))))</f>
        <v/>
      </c>
    </row>
    <row r="92" customFormat="false" ht="15" hidden="false" customHeight="false" outlineLevel="0" collapsed="false">
      <c r="A92" s="14"/>
      <c r="B92" s="15"/>
      <c r="C92" s="16"/>
      <c r="D92" s="14"/>
      <c r="E92" s="14"/>
      <c r="F92" s="14"/>
      <c r="G92" s="15"/>
      <c r="H92" s="15"/>
      <c r="I92" s="17" t="str">
        <f aca="false">IF(OR(AND($A92="",$B92="",$C92="",$D92="",$E92="",$F92="",$G92="",$H92=""),NOT($S92="")),"",ROUND($C92*($D92+$E92)/60,4))</f>
        <v/>
      </c>
      <c r="J92" s="18" t="str">
        <f aca="false">IF(OR(AND($A92="",$B92="",$C92="",$D92="",$E92="",$F92="",$G92="",$H92=""),NOT($S92="")),"",ROUND(ROUND($C92*($D92+$E92)/60*$B$5,9),2))</f>
        <v/>
      </c>
      <c r="K92" s="18" t="str">
        <f aca="false">IF(OR(AND($A92="",$B92="",$C92="",$D92="",$E92="",$F92="",$G92="",$H92=""),NOT($S92="")),"",ROUND(ROUND($C92*$F92*$B$6,9),2))</f>
        <v/>
      </c>
      <c r="L92" s="18" t="str">
        <f aca="false">IF(OR(AND($A92="",$B92="",$C92="",$D92="",$E92="",$F92="",$G92="",$H92=""),NOT($S92="")),"",ROUND(ROUND($C92*$G92,9),2))</f>
        <v/>
      </c>
      <c r="M92" s="19" t="str">
        <f aca="false">IF(OR(AND($A92="",$B92="",$C92="",$D92="",$E92="",$F92="",$G92="",$H92=""),NOT($S92="")),"",ROUND($J92+$K92+$L92+$H92,2))</f>
        <v/>
      </c>
      <c r="N92" s="19" t="str">
        <f aca="false">IF(OR(AND($A92="",$B92="",$C92="",$D92="",$E92="",$F92="",$G92="",$H92=""),NOT($S92="")),"",ROUND($B92-$M92,2))</f>
        <v/>
      </c>
      <c r="O92" s="20" t="str">
        <f aca="false">IF(OR(AND($A92="",$B92="",$C92="",$D92="",$E92="",$F92="",$G92="",$H92=""),NOT($S92="")),"",IF($B92=0,"n/a",INT(ROUND($N92/$B92*10000,6))/10000))</f>
        <v/>
      </c>
      <c r="P92" s="18" t="str">
        <f aca="false">IF(OR(AND($A92="",$B92="",$C92="",$D92="",$E92="",$F92="",$G92="",$H92=""),NOT($S92="")),"",ROUNDUP(ROUND($M92*10000/(10000-TargetH),9),2))</f>
        <v/>
      </c>
      <c r="Q92" s="18" t="str">
        <f aca="false">IF(OR(AND($A92="",$B92="",$C92="",$D92="",$E92="",$F92="",$G92="",$H92=""),NOT($S92="")),"",MAX(0,ROUND($P92-$B92,2)))</f>
        <v/>
      </c>
      <c r="R92" s="21" t="str">
        <f aca="false">IF(AND($A92="",$B92="",$C92="",$D92="",$E92="",$F92="",$G92="",$H92=""),"",IF(NOT($S92=""),"Check inputs",IF($B92=0,"No fee entered",IF($N92&lt;0,"Losing money on entered costs",IF(ROUND($N92*100,0)*10000&lt;TargetH*ROUND($B92*100,0),"Below your target","Meets your target")))))</f>
        <v/>
      </c>
      <c r="S92" s="22" t="str">
        <f aca="false">IF(AND($A92="",$B92="",$C92="",$D92="",$E92="",$F92="",$G92="",$H92=""),"",TRIM(IF($A92="","Customer/site label is missing. ","")&amp;IF($B92="","Monthly fee is missing. ",IF(NOT(ISNUMBER($B92)),"Monthly fee must be a number. ",IF($B92&lt;0,"Monthly fee can't be negative. ",IF(ROUND($B92,2)&lt;&gt;$B92,"Monthly fee: use up to 2 decimal places. ",IF($B92&gt;99999.99,"Monthly fee: use 99,999.99 or less. ","")))))&amp;IF($C92="","Visits per month is missing. ",IF(NOT(ISNUMBER($C92)),"Visits per month must be a number. ",IF($C92&lt;0,"Visits per month can't be negative. ",IF(ROUND($C92,3)&lt;&gt;$C92,"Visits per month: use up to 3 decimal places. ",IF($C92=0,"Visits per month must be more than 0. ",IF($C92&gt;31,"Visits per month: use 31 or less. ",""))))))&amp;IF($D92="","Service minutes per visit is missing. ",IF(NOT(ISNUMBER($D92)),"Service minutes per visit must be a number. ",IF($D92&lt;0,"Service minutes per visit can't be negative. ",IF(ROUND($D92,2)&lt;&gt;$D92,"Service minutes per visit: use up to 2 decimal places. ",IF($D92=0,"Service minutes per visit must be more than 0. ",IF($D92&gt;600,"Service minutes per visit: use 600 or less. ",""))))))&amp;IF($E92="","Drive minutes per visit is missing. ",IF(NOT(ISNUMBER($E92)),"Drive minutes per visit must be a number. ",IF($E92&lt;0,"Drive minutes per visit can't be negative. ",IF(ROUND($E92,2)&lt;&gt;$E92,"Drive minutes per visit: use up to 2 decimal places. ",IF($E92&gt;600,"Drive minutes per visit: use 600 or less. ","")))))&amp;IF($F92="","Drive miles per visit is missing. ",IF(NOT(ISNUMBER($F92)),"Drive miles per visit must be a number. ",IF($F92&lt;0,"Drive miles per visit can't be negative. ",IF(ROUND($F92,2)&lt;&gt;$F92,"Drive miles per visit: use up to 2 decimal places. ",IF($F92&gt;1000,"Drive miles per visit: use 1,000 or less. ","")))))&amp;IF($G92="","Chemicals per visit is missing. ",IF(NOT(ISNUMBER($G92)),"Chemicals per visit must be a number. ",IF($G92&lt;0,"Chemicals per visit can't be negative. ",IF(ROUND($G92,2)&lt;&gt;$G92,"Chemicals per visit: use up to 2 decimal places. ",IF($G92&gt;9999.99,"Chemicals per visit: use 9,999.99 or less. ","")))))&amp;IF($H92="","Other monthly costs is missing. ",IF(NOT(ISNUMBER($H92)),"Other monthly costs must be a number. ",IF($H92&lt;0,"Other monthly costs can't be negative. ",IF(ROUND($H92,2)&lt;&gt;$H92,"Other monthly costs: use up to 2 decimal places. ",IF($H92&gt;99999.99,"Other monthly costs: use 99,999.99 or less. ","")))))&amp;IF(SettingsOK,"","Settings incomplete.")))</f>
        <v/>
      </c>
      <c r="T92" s="23" t="str">
        <f aca="false">IF(AND($A92="",$B92="",$C92="",$D92="",$E92="",$F92="",$G92="",$H92=""),"",IF(Review!$B$5="Check inputs",IF($R92="Check inputs",ROW(),""),IF($R92="Check inputs",IF(Review!$B$5="All accounts",-2000000000000000+ROW(),""),IF(AND(Review!$B$5="Needs review",$R92="Meets your target"),"",IF($R92="No fee entered",-1000000000000000+ROW(),$N92/$B92+ROW()/1000000000)))))</f>
        <v/>
      </c>
    </row>
    <row r="93" customFormat="false" ht="15" hidden="false" customHeight="false" outlineLevel="0" collapsed="false">
      <c r="A93" s="14"/>
      <c r="B93" s="15"/>
      <c r="C93" s="16"/>
      <c r="D93" s="14"/>
      <c r="E93" s="14"/>
      <c r="F93" s="14"/>
      <c r="G93" s="15"/>
      <c r="H93" s="15"/>
      <c r="I93" s="17" t="str">
        <f aca="false">IF(OR(AND($A93="",$B93="",$C93="",$D93="",$E93="",$F93="",$G93="",$H93=""),NOT($S93="")),"",ROUND($C93*($D93+$E93)/60,4))</f>
        <v/>
      </c>
      <c r="J93" s="18" t="str">
        <f aca="false">IF(OR(AND($A93="",$B93="",$C93="",$D93="",$E93="",$F93="",$G93="",$H93=""),NOT($S93="")),"",ROUND(ROUND($C93*($D93+$E93)/60*$B$5,9),2))</f>
        <v/>
      </c>
      <c r="K93" s="18" t="str">
        <f aca="false">IF(OR(AND($A93="",$B93="",$C93="",$D93="",$E93="",$F93="",$G93="",$H93=""),NOT($S93="")),"",ROUND(ROUND($C93*$F93*$B$6,9),2))</f>
        <v/>
      </c>
      <c r="L93" s="18" t="str">
        <f aca="false">IF(OR(AND($A93="",$B93="",$C93="",$D93="",$E93="",$F93="",$G93="",$H93=""),NOT($S93="")),"",ROUND(ROUND($C93*$G93,9),2))</f>
        <v/>
      </c>
      <c r="M93" s="19" t="str">
        <f aca="false">IF(OR(AND($A93="",$B93="",$C93="",$D93="",$E93="",$F93="",$G93="",$H93=""),NOT($S93="")),"",ROUND($J93+$K93+$L93+$H93,2))</f>
        <v/>
      </c>
      <c r="N93" s="19" t="str">
        <f aca="false">IF(OR(AND($A93="",$B93="",$C93="",$D93="",$E93="",$F93="",$G93="",$H93=""),NOT($S93="")),"",ROUND($B93-$M93,2))</f>
        <v/>
      </c>
      <c r="O93" s="20" t="str">
        <f aca="false">IF(OR(AND($A93="",$B93="",$C93="",$D93="",$E93="",$F93="",$G93="",$H93=""),NOT($S93="")),"",IF($B93=0,"n/a",INT(ROUND($N93/$B93*10000,6))/10000))</f>
        <v/>
      </c>
      <c r="P93" s="18" t="str">
        <f aca="false">IF(OR(AND($A93="",$B93="",$C93="",$D93="",$E93="",$F93="",$G93="",$H93=""),NOT($S93="")),"",ROUNDUP(ROUND($M93*10000/(10000-TargetH),9),2))</f>
        <v/>
      </c>
      <c r="Q93" s="18" t="str">
        <f aca="false">IF(OR(AND($A93="",$B93="",$C93="",$D93="",$E93="",$F93="",$G93="",$H93=""),NOT($S93="")),"",MAX(0,ROUND($P93-$B93,2)))</f>
        <v/>
      </c>
      <c r="R93" s="21" t="str">
        <f aca="false">IF(AND($A93="",$B93="",$C93="",$D93="",$E93="",$F93="",$G93="",$H93=""),"",IF(NOT($S93=""),"Check inputs",IF($B93=0,"No fee entered",IF($N93&lt;0,"Losing money on entered costs",IF(ROUND($N93*100,0)*10000&lt;TargetH*ROUND($B93*100,0),"Below your target","Meets your target")))))</f>
        <v/>
      </c>
      <c r="S93" s="22" t="str">
        <f aca="false">IF(AND($A93="",$B93="",$C93="",$D93="",$E93="",$F93="",$G93="",$H93=""),"",TRIM(IF($A93="","Customer/site label is missing. ","")&amp;IF($B93="","Monthly fee is missing. ",IF(NOT(ISNUMBER($B93)),"Monthly fee must be a number. ",IF($B93&lt;0,"Monthly fee can't be negative. ",IF(ROUND($B93,2)&lt;&gt;$B93,"Monthly fee: use up to 2 decimal places. ",IF($B93&gt;99999.99,"Monthly fee: use 99,999.99 or less. ","")))))&amp;IF($C93="","Visits per month is missing. ",IF(NOT(ISNUMBER($C93)),"Visits per month must be a number. ",IF($C93&lt;0,"Visits per month can't be negative. ",IF(ROUND($C93,3)&lt;&gt;$C93,"Visits per month: use up to 3 decimal places. ",IF($C93=0,"Visits per month must be more than 0. ",IF($C93&gt;31,"Visits per month: use 31 or less. ",""))))))&amp;IF($D93="","Service minutes per visit is missing. ",IF(NOT(ISNUMBER($D93)),"Service minutes per visit must be a number. ",IF($D93&lt;0,"Service minutes per visit can't be negative. ",IF(ROUND($D93,2)&lt;&gt;$D93,"Service minutes per visit: use up to 2 decimal places. ",IF($D93=0,"Service minutes per visit must be more than 0. ",IF($D93&gt;600,"Service minutes per visit: use 600 or less. ",""))))))&amp;IF($E93="","Drive minutes per visit is missing. ",IF(NOT(ISNUMBER($E93)),"Drive minutes per visit must be a number. ",IF($E93&lt;0,"Drive minutes per visit can't be negative. ",IF(ROUND($E93,2)&lt;&gt;$E93,"Drive minutes per visit: use up to 2 decimal places. ",IF($E93&gt;600,"Drive minutes per visit: use 600 or less. ","")))))&amp;IF($F93="","Drive miles per visit is missing. ",IF(NOT(ISNUMBER($F93)),"Drive miles per visit must be a number. ",IF($F93&lt;0,"Drive miles per visit can't be negative. ",IF(ROUND($F93,2)&lt;&gt;$F93,"Drive miles per visit: use up to 2 decimal places. ",IF($F93&gt;1000,"Drive miles per visit: use 1,000 or less. ","")))))&amp;IF($G93="","Chemicals per visit is missing. ",IF(NOT(ISNUMBER($G93)),"Chemicals per visit must be a number. ",IF($G93&lt;0,"Chemicals per visit can't be negative. ",IF(ROUND($G93,2)&lt;&gt;$G93,"Chemicals per visit: use up to 2 decimal places. ",IF($G93&gt;9999.99,"Chemicals per visit: use 9,999.99 or less. ","")))))&amp;IF($H93="","Other monthly costs is missing. ",IF(NOT(ISNUMBER($H93)),"Other monthly costs must be a number. ",IF($H93&lt;0,"Other monthly costs can't be negative. ",IF(ROUND($H93,2)&lt;&gt;$H93,"Other monthly costs: use up to 2 decimal places. ",IF($H93&gt;99999.99,"Other monthly costs: use 99,999.99 or less. ","")))))&amp;IF(SettingsOK,"","Settings incomplete.")))</f>
        <v/>
      </c>
      <c r="T93" s="23" t="str">
        <f aca="false">IF(AND($A93="",$B93="",$C93="",$D93="",$E93="",$F93="",$G93="",$H93=""),"",IF(Review!$B$5="Check inputs",IF($R93="Check inputs",ROW(),""),IF($R93="Check inputs",IF(Review!$B$5="All accounts",-2000000000000000+ROW(),""),IF(AND(Review!$B$5="Needs review",$R93="Meets your target"),"",IF($R93="No fee entered",-1000000000000000+ROW(),$N93/$B93+ROW()/1000000000)))))</f>
        <v/>
      </c>
    </row>
    <row r="94" customFormat="false" ht="15" hidden="false" customHeight="false" outlineLevel="0" collapsed="false">
      <c r="A94" s="14"/>
      <c r="B94" s="15"/>
      <c r="C94" s="16"/>
      <c r="D94" s="14"/>
      <c r="E94" s="14"/>
      <c r="F94" s="14"/>
      <c r="G94" s="15"/>
      <c r="H94" s="15"/>
      <c r="I94" s="17" t="str">
        <f aca="false">IF(OR(AND($A94="",$B94="",$C94="",$D94="",$E94="",$F94="",$G94="",$H94=""),NOT($S94="")),"",ROUND($C94*($D94+$E94)/60,4))</f>
        <v/>
      </c>
      <c r="J94" s="18" t="str">
        <f aca="false">IF(OR(AND($A94="",$B94="",$C94="",$D94="",$E94="",$F94="",$G94="",$H94=""),NOT($S94="")),"",ROUND(ROUND($C94*($D94+$E94)/60*$B$5,9),2))</f>
        <v/>
      </c>
      <c r="K94" s="18" t="str">
        <f aca="false">IF(OR(AND($A94="",$B94="",$C94="",$D94="",$E94="",$F94="",$G94="",$H94=""),NOT($S94="")),"",ROUND(ROUND($C94*$F94*$B$6,9),2))</f>
        <v/>
      </c>
      <c r="L94" s="18" t="str">
        <f aca="false">IF(OR(AND($A94="",$B94="",$C94="",$D94="",$E94="",$F94="",$G94="",$H94=""),NOT($S94="")),"",ROUND(ROUND($C94*$G94,9),2))</f>
        <v/>
      </c>
      <c r="M94" s="19" t="str">
        <f aca="false">IF(OR(AND($A94="",$B94="",$C94="",$D94="",$E94="",$F94="",$G94="",$H94=""),NOT($S94="")),"",ROUND($J94+$K94+$L94+$H94,2))</f>
        <v/>
      </c>
      <c r="N94" s="19" t="str">
        <f aca="false">IF(OR(AND($A94="",$B94="",$C94="",$D94="",$E94="",$F94="",$G94="",$H94=""),NOT($S94="")),"",ROUND($B94-$M94,2))</f>
        <v/>
      </c>
      <c r="O94" s="20" t="str">
        <f aca="false">IF(OR(AND($A94="",$B94="",$C94="",$D94="",$E94="",$F94="",$G94="",$H94=""),NOT($S94="")),"",IF($B94=0,"n/a",INT(ROUND($N94/$B94*10000,6))/10000))</f>
        <v/>
      </c>
      <c r="P94" s="18" t="str">
        <f aca="false">IF(OR(AND($A94="",$B94="",$C94="",$D94="",$E94="",$F94="",$G94="",$H94=""),NOT($S94="")),"",ROUNDUP(ROUND($M94*10000/(10000-TargetH),9),2))</f>
        <v/>
      </c>
      <c r="Q94" s="18" t="str">
        <f aca="false">IF(OR(AND($A94="",$B94="",$C94="",$D94="",$E94="",$F94="",$G94="",$H94=""),NOT($S94="")),"",MAX(0,ROUND($P94-$B94,2)))</f>
        <v/>
      </c>
      <c r="R94" s="21" t="str">
        <f aca="false">IF(AND($A94="",$B94="",$C94="",$D94="",$E94="",$F94="",$G94="",$H94=""),"",IF(NOT($S94=""),"Check inputs",IF($B94=0,"No fee entered",IF($N94&lt;0,"Losing money on entered costs",IF(ROUND($N94*100,0)*10000&lt;TargetH*ROUND($B94*100,0),"Below your target","Meets your target")))))</f>
        <v/>
      </c>
      <c r="S94" s="22" t="str">
        <f aca="false">IF(AND($A94="",$B94="",$C94="",$D94="",$E94="",$F94="",$G94="",$H94=""),"",TRIM(IF($A94="","Customer/site label is missing. ","")&amp;IF($B94="","Monthly fee is missing. ",IF(NOT(ISNUMBER($B94)),"Monthly fee must be a number. ",IF($B94&lt;0,"Monthly fee can't be negative. ",IF(ROUND($B94,2)&lt;&gt;$B94,"Monthly fee: use up to 2 decimal places. ",IF($B94&gt;99999.99,"Monthly fee: use 99,999.99 or less. ","")))))&amp;IF($C94="","Visits per month is missing. ",IF(NOT(ISNUMBER($C94)),"Visits per month must be a number. ",IF($C94&lt;0,"Visits per month can't be negative. ",IF(ROUND($C94,3)&lt;&gt;$C94,"Visits per month: use up to 3 decimal places. ",IF($C94=0,"Visits per month must be more than 0. ",IF($C94&gt;31,"Visits per month: use 31 or less. ",""))))))&amp;IF($D94="","Service minutes per visit is missing. ",IF(NOT(ISNUMBER($D94)),"Service minutes per visit must be a number. ",IF($D94&lt;0,"Service minutes per visit can't be negative. ",IF(ROUND($D94,2)&lt;&gt;$D94,"Service minutes per visit: use up to 2 decimal places. ",IF($D94=0,"Service minutes per visit must be more than 0. ",IF($D94&gt;600,"Service minutes per visit: use 600 or less. ",""))))))&amp;IF($E94="","Drive minutes per visit is missing. ",IF(NOT(ISNUMBER($E94)),"Drive minutes per visit must be a number. ",IF($E94&lt;0,"Drive minutes per visit can't be negative. ",IF(ROUND($E94,2)&lt;&gt;$E94,"Drive minutes per visit: use up to 2 decimal places. ",IF($E94&gt;600,"Drive minutes per visit: use 600 or less. ","")))))&amp;IF($F94="","Drive miles per visit is missing. ",IF(NOT(ISNUMBER($F94)),"Drive miles per visit must be a number. ",IF($F94&lt;0,"Drive miles per visit can't be negative. ",IF(ROUND($F94,2)&lt;&gt;$F94,"Drive miles per visit: use up to 2 decimal places. ",IF($F94&gt;1000,"Drive miles per visit: use 1,000 or less. ","")))))&amp;IF($G94="","Chemicals per visit is missing. ",IF(NOT(ISNUMBER($G94)),"Chemicals per visit must be a number. ",IF($G94&lt;0,"Chemicals per visit can't be negative. ",IF(ROUND($G94,2)&lt;&gt;$G94,"Chemicals per visit: use up to 2 decimal places. ",IF($G94&gt;9999.99,"Chemicals per visit: use 9,999.99 or less. ","")))))&amp;IF($H94="","Other monthly costs is missing. ",IF(NOT(ISNUMBER($H94)),"Other monthly costs must be a number. ",IF($H94&lt;0,"Other monthly costs can't be negative. ",IF(ROUND($H94,2)&lt;&gt;$H94,"Other monthly costs: use up to 2 decimal places. ",IF($H94&gt;99999.99,"Other monthly costs: use 99,999.99 or less. ","")))))&amp;IF(SettingsOK,"","Settings incomplete.")))</f>
        <v/>
      </c>
      <c r="T94" s="23" t="str">
        <f aca="false">IF(AND($A94="",$B94="",$C94="",$D94="",$E94="",$F94="",$G94="",$H94=""),"",IF(Review!$B$5="Check inputs",IF($R94="Check inputs",ROW(),""),IF($R94="Check inputs",IF(Review!$B$5="All accounts",-2000000000000000+ROW(),""),IF(AND(Review!$B$5="Needs review",$R94="Meets your target"),"",IF($R94="No fee entered",-1000000000000000+ROW(),$N94/$B94+ROW()/1000000000)))))</f>
        <v/>
      </c>
    </row>
    <row r="95" customFormat="false" ht="15" hidden="false" customHeight="false" outlineLevel="0" collapsed="false">
      <c r="A95" s="14"/>
      <c r="B95" s="15"/>
      <c r="C95" s="16"/>
      <c r="D95" s="14"/>
      <c r="E95" s="14"/>
      <c r="F95" s="14"/>
      <c r="G95" s="15"/>
      <c r="H95" s="15"/>
      <c r="I95" s="17" t="str">
        <f aca="false">IF(OR(AND($A95="",$B95="",$C95="",$D95="",$E95="",$F95="",$G95="",$H95=""),NOT($S95="")),"",ROUND($C95*($D95+$E95)/60,4))</f>
        <v/>
      </c>
      <c r="J95" s="18" t="str">
        <f aca="false">IF(OR(AND($A95="",$B95="",$C95="",$D95="",$E95="",$F95="",$G95="",$H95=""),NOT($S95="")),"",ROUND(ROUND($C95*($D95+$E95)/60*$B$5,9),2))</f>
        <v/>
      </c>
      <c r="K95" s="18" t="str">
        <f aca="false">IF(OR(AND($A95="",$B95="",$C95="",$D95="",$E95="",$F95="",$G95="",$H95=""),NOT($S95="")),"",ROUND(ROUND($C95*$F95*$B$6,9),2))</f>
        <v/>
      </c>
      <c r="L95" s="18" t="str">
        <f aca="false">IF(OR(AND($A95="",$B95="",$C95="",$D95="",$E95="",$F95="",$G95="",$H95=""),NOT($S95="")),"",ROUND(ROUND($C95*$G95,9),2))</f>
        <v/>
      </c>
      <c r="M95" s="19" t="str">
        <f aca="false">IF(OR(AND($A95="",$B95="",$C95="",$D95="",$E95="",$F95="",$G95="",$H95=""),NOT($S95="")),"",ROUND($J95+$K95+$L95+$H95,2))</f>
        <v/>
      </c>
      <c r="N95" s="19" t="str">
        <f aca="false">IF(OR(AND($A95="",$B95="",$C95="",$D95="",$E95="",$F95="",$G95="",$H95=""),NOT($S95="")),"",ROUND($B95-$M95,2))</f>
        <v/>
      </c>
      <c r="O95" s="20" t="str">
        <f aca="false">IF(OR(AND($A95="",$B95="",$C95="",$D95="",$E95="",$F95="",$G95="",$H95=""),NOT($S95="")),"",IF($B95=0,"n/a",INT(ROUND($N95/$B95*10000,6))/10000))</f>
        <v/>
      </c>
      <c r="P95" s="18" t="str">
        <f aca="false">IF(OR(AND($A95="",$B95="",$C95="",$D95="",$E95="",$F95="",$G95="",$H95=""),NOT($S95="")),"",ROUNDUP(ROUND($M95*10000/(10000-TargetH),9),2))</f>
        <v/>
      </c>
      <c r="Q95" s="18" t="str">
        <f aca="false">IF(OR(AND($A95="",$B95="",$C95="",$D95="",$E95="",$F95="",$G95="",$H95=""),NOT($S95="")),"",MAX(0,ROUND($P95-$B95,2)))</f>
        <v/>
      </c>
      <c r="R95" s="21" t="str">
        <f aca="false">IF(AND($A95="",$B95="",$C95="",$D95="",$E95="",$F95="",$G95="",$H95=""),"",IF(NOT($S95=""),"Check inputs",IF($B95=0,"No fee entered",IF($N95&lt;0,"Losing money on entered costs",IF(ROUND($N95*100,0)*10000&lt;TargetH*ROUND($B95*100,0),"Below your target","Meets your target")))))</f>
        <v/>
      </c>
      <c r="S95" s="22" t="str">
        <f aca="false">IF(AND($A95="",$B95="",$C95="",$D95="",$E95="",$F95="",$G95="",$H95=""),"",TRIM(IF($A95="","Customer/site label is missing. ","")&amp;IF($B95="","Monthly fee is missing. ",IF(NOT(ISNUMBER($B95)),"Monthly fee must be a number. ",IF($B95&lt;0,"Monthly fee can't be negative. ",IF(ROUND($B95,2)&lt;&gt;$B95,"Monthly fee: use up to 2 decimal places. ",IF($B95&gt;99999.99,"Monthly fee: use 99,999.99 or less. ","")))))&amp;IF($C95="","Visits per month is missing. ",IF(NOT(ISNUMBER($C95)),"Visits per month must be a number. ",IF($C95&lt;0,"Visits per month can't be negative. ",IF(ROUND($C95,3)&lt;&gt;$C95,"Visits per month: use up to 3 decimal places. ",IF($C95=0,"Visits per month must be more than 0. ",IF($C95&gt;31,"Visits per month: use 31 or less. ",""))))))&amp;IF($D95="","Service minutes per visit is missing. ",IF(NOT(ISNUMBER($D95)),"Service minutes per visit must be a number. ",IF($D95&lt;0,"Service minutes per visit can't be negative. ",IF(ROUND($D95,2)&lt;&gt;$D95,"Service minutes per visit: use up to 2 decimal places. ",IF($D95=0,"Service minutes per visit must be more than 0. ",IF($D95&gt;600,"Service minutes per visit: use 600 or less. ",""))))))&amp;IF($E95="","Drive minutes per visit is missing. ",IF(NOT(ISNUMBER($E95)),"Drive minutes per visit must be a number. ",IF($E95&lt;0,"Drive minutes per visit can't be negative. ",IF(ROUND($E95,2)&lt;&gt;$E95,"Drive minutes per visit: use up to 2 decimal places. ",IF($E95&gt;600,"Drive minutes per visit: use 600 or less. ","")))))&amp;IF($F95="","Drive miles per visit is missing. ",IF(NOT(ISNUMBER($F95)),"Drive miles per visit must be a number. ",IF($F95&lt;0,"Drive miles per visit can't be negative. ",IF(ROUND($F95,2)&lt;&gt;$F95,"Drive miles per visit: use up to 2 decimal places. ",IF($F95&gt;1000,"Drive miles per visit: use 1,000 or less. ","")))))&amp;IF($G95="","Chemicals per visit is missing. ",IF(NOT(ISNUMBER($G95)),"Chemicals per visit must be a number. ",IF($G95&lt;0,"Chemicals per visit can't be negative. ",IF(ROUND($G95,2)&lt;&gt;$G95,"Chemicals per visit: use up to 2 decimal places. ",IF($G95&gt;9999.99,"Chemicals per visit: use 9,999.99 or less. ","")))))&amp;IF($H95="","Other monthly costs is missing. ",IF(NOT(ISNUMBER($H95)),"Other monthly costs must be a number. ",IF($H95&lt;0,"Other monthly costs can't be negative. ",IF(ROUND($H95,2)&lt;&gt;$H95,"Other monthly costs: use up to 2 decimal places. ",IF($H95&gt;99999.99,"Other monthly costs: use 99,999.99 or less. ","")))))&amp;IF(SettingsOK,"","Settings incomplete.")))</f>
        <v/>
      </c>
      <c r="T95" s="23" t="str">
        <f aca="false">IF(AND($A95="",$B95="",$C95="",$D95="",$E95="",$F95="",$G95="",$H95=""),"",IF(Review!$B$5="Check inputs",IF($R95="Check inputs",ROW(),""),IF($R95="Check inputs",IF(Review!$B$5="All accounts",-2000000000000000+ROW(),""),IF(AND(Review!$B$5="Needs review",$R95="Meets your target"),"",IF($R95="No fee entered",-1000000000000000+ROW(),$N95/$B95+ROW()/1000000000)))))</f>
        <v/>
      </c>
    </row>
    <row r="96" customFormat="false" ht="15" hidden="false" customHeight="false" outlineLevel="0" collapsed="false">
      <c r="A96" s="14"/>
      <c r="B96" s="15"/>
      <c r="C96" s="16"/>
      <c r="D96" s="14"/>
      <c r="E96" s="14"/>
      <c r="F96" s="14"/>
      <c r="G96" s="15"/>
      <c r="H96" s="15"/>
      <c r="I96" s="17" t="str">
        <f aca="false">IF(OR(AND($A96="",$B96="",$C96="",$D96="",$E96="",$F96="",$G96="",$H96=""),NOT($S96="")),"",ROUND($C96*($D96+$E96)/60,4))</f>
        <v/>
      </c>
      <c r="J96" s="18" t="str">
        <f aca="false">IF(OR(AND($A96="",$B96="",$C96="",$D96="",$E96="",$F96="",$G96="",$H96=""),NOT($S96="")),"",ROUND(ROUND($C96*($D96+$E96)/60*$B$5,9),2))</f>
        <v/>
      </c>
      <c r="K96" s="18" t="str">
        <f aca="false">IF(OR(AND($A96="",$B96="",$C96="",$D96="",$E96="",$F96="",$G96="",$H96=""),NOT($S96="")),"",ROUND(ROUND($C96*$F96*$B$6,9),2))</f>
        <v/>
      </c>
      <c r="L96" s="18" t="str">
        <f aca="false">IF(OR(AND($A96="",$B96="",$C96="",$D96="",$E96="",$F96="",$G96="",$H96=""),NOT($S96="")),"",ROUND(ROUND($C96*$G96,9),2))</f>
        <v/>
      </c>
      <c r="M96" s="19" t="str">
        <f aca="false">IF(OR(AND($A96="",$B96="",$C96="",$D96="",$E96="",$F96="",$G96="",$H96=""),NOT($S96="")),"",ROUND($J96+$K96+$L96+$H96,2))</f>
        <v/>
      </c>
      <c r="N96" s="19" t="str">
        <f aca="false">IF(OR(AND($A96="",$B96="",$C96="",$D96="",$E96="",$F96="",$G96="",$H96=""),NOT($S96="")),"",ROUND($B96-$M96,2))</f>
        <v/>
      </c>
      <c r="O96" s="20" t="str">
        <f aca="false">IF(OR(AND($A96="",$B96="",$C96="",$D96="",$E96="",$F96="",$G96="",$H96=""),NOT($S96="")),"",IF($B96=0,"n/a",INT(ROUND($N96/$B96*10000,6))/10000))</f>
        <v/>
      </c>
      <c r="P96" s="18" t="str">
        <f aca="false">IF(OR(AND($A96="",$B96="",$C96="",$D96="",$E96="",$F96="",$G96="",$H96=""),NOT($S96="")),"",ROUNDUP(ROUND($M96*10000/(10000-TargetH),9),2))</f>
        <v/>
      </c>
      <c r="Q96" s="18" t="str">
        <f aca="false">IF(OR(AND($A96="",$B96="",$C96="",$D96="",$E96="",$F96="",$G96="",$H96=""),NOT($S96="")),"",MAX(0,ROUND($P96-$B96,2)))</f>
        <v/>
      </c>
      <c r="R96" s="21" t="str">
        <f aca="false">IF(AND($A96="",$B96="",$C96="",$D96="",$E96="",$F96="",$G96="",$H96=""),"",IF(NOT($S96=""),"Check inputs",IF($B96=0,"No fee entered",IF($N96&lt;0,"Losing money on entered costs",IF(ROUND($N96*100,0)*10000&lt;TargetH*ROUND($B96*100,0),"Below your target","Meets your target")))))</f>
        <v/>
      </c>
      <c r="S96" s="22" t="str">
        <f aca="false">IF(AND($A96="",$B96="",$C96="",$D96="",$E96="",$F96="",$G96="",$H96=""),"",TRIM(IF($A96="","Customer/site label is missing. ","")&amp;IF($B96="","Monthly fee is missing. ",IF(NOT(ISNUMBER($B96)),"Monthly fee must be a number. ",IF($B96&lt;0,"Monthly fee can't be negative. ",IF(ROUND($B96,2)&lt;&gt;$B96,"Monthly fee: use up to 2 decimal places. ",IF($B96&gt;99999.99,"Monthly fee: use 99,999.99 or less. ","")))))&amp;IF($C96="","Visits per month is missing. ",IF(NOT(ISNUMBER($C96)),"Visits per month must be a number. ",IF($C96&lt;0,"Visits per month can't be negative. ",IF(ROUND($C96,3)&lt;&gt;$C96,"Visits per month: use up to 3 decimal places. ",IF($C96=0,"Visits per month must be more than 0. ",IF($C96&gt;31,"Visits per month: use 31 or less. ",""))))))&amp;IF($D96="","Service minutes per visit is missing. ",IF(NOT(ISNUMBER($D96)),"Service minutes per visit must be a number. ",IF($D96&lt;0,"Service minutes per visit can't be negative. ",IF(ROUND($D96,2)&lt;&gt;$D96,"Service minutes per visit: use up to 2 decimal places. ",IF($D96=0,"Service minutes per visit must be more than 0. ",IF($D96&gt;600,"Service minutes per visit: use 600 or less. ",""))))))&amp;IF($E96="","Drive minutes per visit is missing. ",IF(NOT(ISNUMBER($E96)),"Drive minutes per visit must be a number. ",IF($E96&lt;0,"Drive minutes per visit can't be negative. ",IF(ROUND($E96,2)&lt;&gt;$E96,"Drive minutes per visit: use up to 2 decimal places. ",IF($E96&gt;600,"Drive minutes per visit: use 600 or less. ","")))))&amp;IF($F96="","Drive miles per visit is missing. ",IF(NOT(ISNUMBER($F96)),"Drive miles per visit must be a number. ",IF($F96&lt;0,"Drive miles per visit can't be negative. ",IF(ROUND($F96,2)&lt;&gt;$F96,"Drive miles per visit: use up to 2 decimal places. ",IF($F96&gt;1000,"Drive miles per visit: use 1,000 or less. ","")))))&amp;IF($G96="","Chemicals per visit is missing. ",IF(NOT(ISNUMBER($G96)),"Chemicals per visit must be a number. ",IF($G96&lt;0,"Chemicals per visit can't be negative. ",IF(ROUND($G96,2)&lt;&gt;$G96,"Chemicals per visit: use up to 2 decimal places. ",IF($G96&gt;9999.99,"Chemicals per visit: use 9,999.99 or less. ","")))))&amp;IF($H96="","Other monthly costs is missing. ",IF(NOT(ISNUMBER($H96)),"Other monthly costs must be a number. ",IF($H96&lt;0,"Other monthly costs can't be negative. ",IF(ROUND($H96,2)&lt;&gt;$H96,"Other monthly costs: use up to 2 decimal places. ",IF($H96&gt;99999.99,"Other monthly costs: use 99,999.99 or less. ","")))))&amp;IF(SettingsOK,"","Settings incomplete.")))</f>
        <v/>
      </c>
      <c r="T96" s="23" t="str">
        <f aca="false">IF(AND($A96="",$B96="",$C96="",$D96="",$E96="",$F96="",$G96="",$H96=""),"",IF(Review!$B$5="Check inputs",IF($R96="Check inputs",ROW(),""),IF($R96="Check inputs",IF(Review!$B$5="All accounts",-2000000000000000+ROW(),""),IF(AND(Review!$B$5="Needs review",$R96="Meets your target"),"",IF($R96="No fee entered",-1000000000000000+ROW(),$N96/$B96+ROW()/1000000000)))))</f>
        <v/>
      </c>
    </row>
    <row r="97" customFormat="false" ht="15" hidden="false" customHeight="false" outlineLevel="0" collapsed="false">
      <c r="A97" s="14"/>
      <c r="B97" s="15"/>
      <c r="C97" s="16"/>
      <c r="D97" s="14"/>
      <c r="E97" s="14"/>
      <c r="F97" s="14"/>
      <c r="G97" s="15"/>
      <c r="H97" s="15"/>
      <c r="I97" s="17" t="str">
        <f aca="false">IF(OR(AND($A97="",$B97="",$C97="",$D97="",$E97="",$F97="",$G97="",$H97=""),NOT($S97="")),"",ROUND($C97*($D97+$E97)/60,4))</f>
        <v/>
      </c>
      <c r="J97" s="18" t="str">
        <f aca="false">IF(OR(AND($A97="",$B97="",$C97="",$D97="",$E97="",$F97="",$G97="",$H97=""),NOT($S97="")),"",ROUND(ROUND($C97*($D97+$E97)/60*$B$5,9),2))</f>
        <v/>
      </c>
      <c r="K97" s="18" t="str">
        <f aca="false">IF(OR(AND($A97="",$B97="",$C97="",$D97="",$E97="",$F97="",$G97="",$H97=""),NOT($S97="")),"",ROUND(ROUND($C97*$F97*$B$6,9),2))</f>
        <v/>
      </c>
      <c r="L97" s="18" t="str">
        <f aca="false">IF(OR(AND($A97="",$B97="",$C97="",$D97="",$E97="",$F97="",$G97="",$H97=""),NOT($S97="")),"",ROUND(ROUND($C97*$G97,9),2))</f>
        <v/>
      </c>
      <c r="M97" s="19" t="str">
        <f aca="false">IF(OR(AND($A97="",$B97="",$C97="",$D97="",$E97="",$F97="",$G97="",$H97=""),NOT($S97="")),"",ROUND($J97+$K97+$L97+$H97,2))</f>
        <v/>
      </c>
      <c r="N97" s="19" t="str">
        <f aca="false">IF(OR(AND($A97="",$B97="",$C97="",$D97="",$E97="",$F97="",$G97="",$H97=""),NOT($S97="")),"",ROUND($B97-$M97,2))</f>
        <v/>
      </c>
      <c r="O97" s="20" t="str">
        <f aca="false">IF(OR(AND($A97="",$B97="",$C97="",$D97="",$E97="",$F97="",$G97="",$H97=""),NOT($S97="")),"",IF($B97=0,"n/a",INT(ROUND($N97/$B97*10000,6))/10000))</f>
        <v/>
      </c>
      <c r="P97" s="18" t="str">
        <f aca="false">IF(OR(AND($A97="",$B97="",$C97="",$D97="",$E97="",$F97="",$G97="",$H97=""),NOT($S97="")),"",ROUNDUP(ROUND($M97*10000/(10000-TargetH),9),2))</f>
        <v/>
      </c>
      <c r="Q97" s="18" t="str">
        <f aca="false">IF(OR(AND($A97="",$B97="",$C97="",$D97="",$E97="",$F97="",$G97="",$H97=""),NOT($S97="")),"",MAX(0,ROUND($P97-$B97,2)))</f>
        <v/>
      </c>
      <c r="R97" s="21" t="str">
        <f aca="false">IF(AND($A97="",$B97="",$C97="",$D97="",$E97="",$F97="",$G97="",$H97=""),"",IF(NOT($S97=""),"Check inputs",IF($B97=0,"No fee entered",IF($N97&lt;0,"Losing money on entered costs",IF(ROUND($N97*100,0)*10000&lt;TargetH*ROUND($B97*100,0),"Below your target","Meets your target")))))</f>
        <v/>
      </c>
      <c r="S97" s="22" t="str">
        <f aca="false">IF(AND($A97="",$B97="",$C97="",$D97="",$E97="",$F97="",$G97="",$H97=""),"",TRIM(IF($A97="","Customer/site label is missing. ","")&amp;IF($B97="","Monthly fee is missing. ",IF(NOT(ISNUMBER($B97)),"Monthly fee must be a number. ",IF($B97&lt;0,"Monthly fee can't be negative. ",IF(ROUND($B97,2)&lt;&gt;$B97,"Monthly fee: use up to 2 decimal places. ",IF($B97&gt;99999.99,"Monthly fee: use 99,999.99 or less. ","")))))&amp;IF($C97="","Visits per month is missing. ",IF(NOT(ISNUMBER($C97)),"Visits per month must be a number. ",IF($C97&lt;0,"Visits per month can't be negative. ",IF(ROUND($C97,3)&lt;&gt;$C97,"Visits per month: use up to 3 decimal places. ",IF($C97=0,"Visits per month must be more than 0. ",IF($C97&gt;31,"Visits per month: use 31 or less. ",""))))))&amp;IF($D97="","Service minutes per visit is missing. ",IF(NOT(ISNUMBER($D97)),"Service minutes per visit must be a number. ",IF($D97&lt;0,"Service minutes per visit can't be negative. ",IF(ROUND($D97,2)&lt;&gt;$D97,"Service minutes per visit: use up to 2 decimal places. ",IF($D97=0,"Service minutes per visit must be more than 0. ",IF($D97&gt;600,"Service minutes per visit: use 600 or less. ",""))))))&amp;IF($E97="","Drive minutes per visit is missing. ",IF(NOT(ISNUMBER($E97)),"Drive minutes per visit must be a number. ",IF($E97&lt;0,"Drive minutes per visit can't be negative. ",IF(ROUND($E97,2)&lt;&gt;$E97,"Drive minutes per visit: use up to 2 decimal places. ",IF($E97&gt;600,"Drive minutes per visit: use 600 or less. ","")))))&amp;IF($F97="","Drive miles per visit is missing. ",IF(NOT(ISNUMBER($F97)),"Drive miles per visit must be a number. ",IF($F97&lt;0,"Drive miles per visit can't be negative. ",IF(ROUND($F97,2)&lt;&gt;$F97,"Drive miles per visit: use up to 2 decimal places. ",IF($F97&gt;1000,"Drive miles per visit: use 1,000 or less. ","")))))&amp;IF($G97="","Chemicals per visit is missing. ",IF(NOT(ISNUMBER($G97)),"Chemicals per visit must be a number. ",IF($G97&lt;0,"Chemicals per visit can't be negative. ",IF(ROUND($G97,2)&lt;&gt;$G97,"Chemicals per visit: use up to 2 decimal places. ",IF($G97&gt;9999.99,"Chemicals per visit: use 9,999.99 or less. ","")))))&amp;IF($H97="","Other monthly costs is missing. ",IF(NOT(ISNUMBER($H97)),"Other monthly costs must be a number. ",IF($H97&lt;0,"Other monthly costs can't be negative. ",IF(ROUND($H97,2)&lt;&gt;$H97,"Other monthly costs: use up to 2 decimal places. ",IF($H97&gt;99999.99,"Other monthly costs: use 99,999.99 or less. ","")))))&amp;IF(SettingsOK,"","Settings incomplete.")))</f>
        <v/>
      </c>
      <c r="T97" s="23" t="str">
        <f aca="false">IF(AND($A97="",$B97="",$C97="",$D97="",$E97="",$F97="",$G97="",$H97=""),"",IF(Review!$B$5="Check inputs",IF($R97="Check inputs",ROW(),""),IF($R97="Check inputs",IF(Review!$B$5="All accounts",-2000000000000000+ROW(),""),IF(AND(Review!$B$5="Needs review",$R97="Meets your target"),"",IF($R97="No fee entered",-1000000000000000+ROW(),$N97/$B97+ROW()/1000000000)))))</f>
        <v/>
      </c>
    </row>
    <row r="98" customFormat="false" ht="15" hidden="false" customHeight="false" outlineLevel="0" collapsed="false">
      <c r="A98" s="14"/>
      <c r="B98" s="15"/>
      <c r="C98" s="16"/>
      <c r="D98" s="14"/>
      <c r="E98" s="14"/>
      <c r="F98" s="14"/>
      <c r="G98" s="15"/>
      <c r="H98" s="15"/>
      <c r="I98" s="17" t="str">
        <f aca="false">IF(OR(AND($A98="",$B98="",$C98="",$D98="",$E98="",$F98="",$G98="",$H98=""),NOT($S98="")),"",ROUND($C98*($D98+$E98)/60,4))</f>
        <v/>
      </c>
      <c r="J98" s="18" t="str">
        <f aca="false">IF(OR(AND($A98="",$B98="",$C98="",$D98="",$E98="",$F98="",$G98="",$H98=""),NOT($S98="")),"",ROUND(ROUND($C98*($D98+$E98)/60*$B$5,9),2))</f>
        <v/>
      </c>
      <c r="K98" s="18" t="str">
        <f aca="false">IF(OR(AND($A98="",$B98="",$C98="",$D98="",$E98="",$F98="",$G98="",$H98=""),NOT($S98="")),"",ROUND(ROUND($C98*$F98*$B$6,9),2))</f>
        <v/>
      </c>
      <c r="L98" s="18" t="str">
        <f aca="false">IF(OR(AND($A98="",$B98="",$C98="",$D98="",$E98="",$F98="",$G98="",$H98=""),NOT($S98="")),"",ROUND(ROUND($C98*$G98,9),2))</f>
        <v/>
      </c>
      <c r="M98" s="19" t="str">
        <f aca="false">IF(OR(AND($A98="",$B98="",$C98="",$D98="",$E98="",$F98="",$G98="",$H98=""),NOT($S98="")),"",ROUND($J98+$K98+$L98+$H98,2))</f>
        <v/>
      </c>
      <c r="N98" s="19" t="str">
        <f aca="false">IF(OR(AND($A98="",$B98="",$C98="",$D98="",$E98="",$F98="",$G98="",$H98=""),NOT($S98="")),"",ROUND($B98-$M98,2))</f>
        <v/>
      </c>
      <c r="O98" s="20" t="str">
        <f aca="false">IF(OR(AND($A98="",$B98="",$C98="",$D98="",$E98="",$F98="",$G98="",$H98=""),NOT($S98="")),"",IF($B98=0,"n/a",INT(ROUND($N98/$B98*10000,6))/10000))</f>
        <v/>
      </c>
      <c r="P98" s="18" t="str">
        <f aca="false">IF(OR(AND($A98="",$B98="",$C98="",$D98="",$E98="",$F98="",$G98="",$H98=""),NOT($S98="")),"",ROUNDUP(ROUND($M98*10000/(10000-TargetH),9),2))</f>
        <v/>
      </c>
      <c r="Q98" s="18" t="str">
        <f aca="false">IF(OR(AND($A98="",$B98="",$C98="",$D98="",$E98="",$F98="",$G98="",$H98=""),NOT($S98="")),"",MAX(0,ROUND($P98-$B98,2)))</f>
        <v/>
      </c>
      <c r="R98" s="21" t="str">
        <f aca="false">IF(AND($A98="",$B98="",$C98="",$D98="",$E98="",$F98="",$G98="",$H98=""),"",IF(NOT($S98=""),"Check inputs",IF($B98=0,"No fee entered",IF($N98&lt;0,"Losing money on entered costs",IF(ROUND($N98*100,0)*10000&lt;TargetH*ROUND($B98*100,0),"Below your target","Meets your target")))))</f>
        <v/>
      </c>
      <c r="S98" s="22" t="str">
        <f aca="false">IF(AND($A98="",$B98="",$C98="",$D98="",$E98="",$F98="",$G98="",$H98=""),"",TRIM(IF($A98="","Customer/site label is missing. ","")&amp;IF($B98="","Monthly fee is missing. ",IF(NOT(ISNUMBER($B98)),"Monthly fee must be a number. ",IF($B98&lt;0,"Monthly fee can't be negative. ",IF(ROUND($B98,2)&lt;&gt;$B98,"Monthly fee: use up to 2 decimal places. ",IF($B98&gt;99999.99,"Monthly fee: use 99,999.99 or less. ","")))))&amp;IF($C98="","Visits per month is missing. ",IF(NOT(ISNUMBER($C98)),"Visits per month must be a number. ",IF($C98&lt;0,"Visits per month can't be negative. ",IF(ROUND($C98,3)&lt;&gt;$C98,"Visits per month: use up to 3 decimal places. ",IF($C98=0,"Visits per month must be more than 0. ",IF($C98&gt;31,"Visits per month: use 31 or less. ",""))))))&amp;IF($D98="","Service minutes per visit is missing. ",IF(NOT(ISNUMBER($D98)),"Service minutes per visit must be a number. ",IF($D98&lt;0,"Service minutes per visit can't be negative. ",IF(ROUND($D98,2)&lt;&gt;$D98,"Service minutes per visit: use up to 2 decimal places. ",IF($D98=0,"Service minutes per visit must be more than 0. ",IF($D98&gt;600,"Service minutes per visit: use 600 or less. ",""))))))&amp;IF($E98="","Drive minutes per visit is missing. ",IF(NOT(ISNUMBER($E98)),"Drive minutes per visit must be a number. ",IF($E98&lt;0,"Drive minutes per visit can't be negative. ",IF(ROUND($E98,2)&lt;&gt;$E98,"Drive minutes per visit: use up to 2 decimal places. ",IF($E98&gt;600,"Drive minutes per visit: use 600 or less. ","")))))&amp;IF($F98="","Drive miles per visit is missing. ",IF(NOT(ISNUMBER($F98)),"Drive miles per visit must be a number. ",IF($F98&lt;0,"Drive miles per visit can't be negative. ",IF(ROUND($F98,2)&lt;&gt;$F98,"Drive miles per visit: use up to 2 decimal places. ",IF($F98&gt;1000,"Drive miles per visit: use 1,000 or less. ","")))))&amp;IF($G98="","Chemicals per visit is missing. ",IF(NOT(ISNUMBER($G98)),"Chemicals per visit must be a number. ",IF($G98&lt;0,"Chemicals per visit can't be negative. ",IF(ROUND($G98,2)&lt;&gt;$G98,"Chemicals per visit: use up to 2 decimal places. ",IF($G98&gt;9999.99,"Chemicals per visit: use 9,999.99 or less. ","")))))&amp;IF($H98="","Other monthly costs is missing. ",IF(NOT(ISNUMBER($H98)),"Other monthly costs must be a number. ",IF($H98&lt;0,"Other monthly costs can't be negative. ",IF(ROUND($H98,2)&lt;&gt;$H98,"Other monthly costs: use up to 2 decimal places. ",IF($H98&gt;99999.99,"Other monthly costs: use 99,999.99 or less. ","")))))&amp;IF(SettingsOK,"","Settings incomplete.")))</f>
        <v/>
      </c>
      <c r="T98" s="23" t="str">
        <f aca="false">IF(AND($A98="",$B98="",$C98="",$D98="",$E98="",$F98="",$G98="",$H98=""),"",IF(Review!$B$5="Check inputs",IF($R98="Check inputs",ROW(),""),IF($R98="Check inputs",IF(Review!$B$5="All accounts",-2000000000000000+ROW(),""),IF(AND(Review!$B$5="Needs review",$R98="Meets your target"),"",IF($R98="No fee entered",-1000000000000000+ROW(),$N98/$B98+ROW()/1000000000)))))</f>
        <v/>
      </c>
    </row>
    <row r="99" customFormat="false" ht="15" hidden="false" customHeight="false" outlineLevel="0" collapsed="false">
      <c r="A99" s="14"/>
      <c r="B99" s="15"/>
      <c r="C99" s="16"/>
      <c r="D99" s="14"/>
      <c r="E99" s="14"/>
      <c r="F99" s="14"/>
      <c r="G99" s="15"/>
      <c r="H99" s="15"/>
      <c r="I99" s="17" t="str">
        <f aca="false">IF(OR(AND($A99="",$B99="",$C99="",$D99="",$E99="",$F99="",$G99="",$H99=""),NOT($S99="")),"",ROUND($C99*($D99+$E99)/60,4))</f>
        <v/>
      </c>
      <c r="J99" s="18" t="str">
        <f aca="false">IF(OR(AND($A99="",$B99="",$C99="",$D99="",$E99="",$F99="",$G99="",$H99=""),NOT($S99="")),"",ROUND(ROUND($C99*($D99+$E99)/60*$B$5,9),2))</f>
        <v/>
      </c>
      <c r="K99" s="18" t="str">
        <f aca="false">IF(OR(AND($A99="",$B99="",$C99="",$D99="",$E99="",$F99="",$G99="",$H99=""),NOT($S99="")),"",ROUND(ROUND($C99*$F99*$B$6,9),2))</f>
        <v/>
      </c>
      <c r="L99" s="18" t="str">
        <f aca="false">IF(OR(AND($A99="",$B99="",$C99="",$D99="",$E99="",$F99="",$G99="",$H99=""),NOT($S99="")),"",ROUND(ROUND($C99*$G99,9),2))</f>
        <v/>
      </c>
      <c r="M99" s="19" t="str">
        <f aca="false">IF(OR(AND($A99="",$B99="",$C99="",$D99="",$E99="",$F99="",$G99="",$H99=""),NOT($S99="")),"",ROUND($J99+$K99+$L99+$H99,2))</f>
        <v/>
      </c>
      <c r="N99" s="19" t="str">
        <f aca="false">IF(OR(AND($A99="",$B99="",$C99="",$D99="",$E99="",$F99="",$G99="",$H99=""),NOT($S99="")),"",ROUND($B99-$M99,2))</f>
        <v/>
      </c>
      <c r="O99" s="20" t="str">
        <f aca="false">IF(OR(AND($A99="",$B99="",$C99="",$D99="",$E99="",$F99="",$G99="",$H99=""),NOT($S99="")),"",IF($B99=0,"n/a",INT(ROUND($N99/$B99*10000,6))/10000))</f>
        <v/>
      </c>
      <c r="P99" s="18" t="str">
        <f aca="false">IF(OR(AND($A99="",$B99="",$C99="",$D99="",$E99="",$F99="",$G99="",$H99=""),NOT($S99="")),"",ROUNDUP(ROUND($M99*10000/(10000-TargetH),9),2))</f>
        <v/>
      </c>
      <c r="Q99" s="18" t="str">
        <f aca="false">IF(OR(AND($A99="",$B99="",$C99="",$D99="",$E99="",$F99="",$G99="",$H99=""),NOT($S99="")),"",MAX(0,ROUND($P99-$B99,2)))</f>
        <v/>
      </c>
      <c r="R99" s="21" t="str">
        <f aca="false">IF(AND($A99="",$B99="",$C99="",$D99="",$E99="",$F99="",$G99="",$H99=""),"",IF(NOT($S99=""),"Check inputs",IF($B99=0,"No fee entered",IF($N99&lt;0,"Losing money on entered costs",IF(ROUND($N99*100,0)*10000&lt;TargetH*ROUND($B99*100,0),"Below your target","Meets your target")))))</f>
        <v/>
      </c>
      <c r="S99" s="22" t="str">
        <f aca="false">IF(AND($A99="",$B99="",$C99="",$D99="",$E99="",$F99="",$G99="",$H99=""),"",TRIM(IF($A99="","Customer/site label is missing. ","")&amp;IF($B99="","Monthly fee is missing. ",IF(NOT(ISNUMBER($B99)),"Monthly fee must be a number. ",IF($B99&lt;0,"Monthly fee can't be negative. ",IF(ROUND($B99,2)&lt;&gt;$B99,"Monthly fee: use up to 2 decimal places. ",IF($B99&gt;99999.99,"Monthly fee: use 99,999.99 or less. ","")))))&amp;IF($C99="","Visits per month is missing. ",IF(NOT(ISNUMBER($C99)),"Visits per month must be a number. ",IF($C99&lt;0,"Visits per month can't be negative. ",IF(ROUND($C99,3)&lt;&gt;$C99,"Visits per month: use up to 3 decimal places. ",IF($C99=0,"Visits per month must be more than 0. ",IF($C99&gt;31,"Visits per month: use 31 or less. ",""))))))&amp;IF($D99="","Service minutes per visit is missing. ",IF(NOT(ISNUMBER($D99)),"Service minutes per visit must be a number. ",IF($D99&lt;0,"Service minutes per visit can't be negative. ",IF(ROUND($D99,2)&lt;&gt;$D99,"Service minutes per visit: use up to 2 decimal places. ",IF($D99=0,"Service minutes per visit must be more than 0. ",IF($D99&gt;600,"Service minutes per visit: use 600 or less. ",""))))))&amp;IF($E99="","Drive minutes per visit is missing. ",IF(NOT(ISNUMBER($E99)),"Drive minutes per visit must be a number. ",IF($E99&lt;0,"Drive minutes per visit can't be negative. ",IF(ROUND($E99,2)&lt;&gt;$E99,"Drive minutes per visit: use up to 2 decimal places. ",IF($E99&gt;600,"Drive minutes per visit: use 600 or less. ","")))))&amp;IF($F99="","Drive miles per visit is missing. ",IF(NOT(ISNUMBER($F99)),"Drive miles per visit must be a number. ",IF($F99&lt;0,"Drive miles per visit can't be negative. ",IF(ROUND($F99,2)&lt;&gt;$F99,"Drive miles per visit: use up to 2 decimal places. ",IF($F99&gt;1000,"Drive miles per visit: use 1,000 or less. ","")))))&amp;IF($G99="","Chemicals per visit is missing. ",IF(NOT(ISNUMBER($G99)),"Chemicals per visit must be a number. ",IF($G99&lt;0,"Chemicals per visit can't be negative. ",IF(ROUND($G99,2)&lt;&gt;$G99,"Chemicals per visit: use up to 2 decimal places. ",IF($G99&gt;9999.99,"Chemicals per visit: use 9,999.99 or less. ","")))))&amp;IF($H99="","Other monthly costs is missing. ",IF(NOT(ISNUMBER($H99)),"Other monthly costs must be a number. ",IF($H99&lt;0,"Other monthly costs can't be negative. ",IF(ROUND($H99,2)&lt;&gt;$H99,"Other monthly costs: use up to 2 decimal places. ",IF($H99&gt;99999.99,"Other monthly costs: use 99,999.99 or less. ","")))))&amp;IF(SettingsOK,"","Settings incomplete.")))</f>
        <v/>
      </c>
      <c r="T99" s="23" t="str">
        <f aca="false">IF(AND($A99="",$B99="",$C99="",$D99="",$E99="",$F99="",$G99="",$H99=""),"",IF(Review!$B$5="Check inputs",IF($R99="Check inputs",ROW(),""),IF($R99="Check inputs",IF(Review!$B$5="All accounts",-2000000000000000+ROW(),""),IF(AND(Review!$B$5="Needs review",$R99="Meets your target"),"",IF($R99="No fee entered",-1000000000000000+ROW(),$N99/$B99+ROW()/1000000000)))))</f>
        <v/>
      </c>
    </row>
    <row r="100" customFormat="false" ht="15" hidden="false" customHeight="false" outlineLevel="0" collapsed="false">
      <c r="A100" s="14"/>
      <c r="B100" s="15"/>
      <c r="C100" s="16"/>
      <c r="D100" s="14"/>
      <c r="E100" s="14"/>
      <c r="F100" s="14"/>
      <c r="G100" s="15"/>
      <c r="H100" s="15"/>
      <c r="I100" s="17" t="str">
        <f aca="false">IF(OR(AND($A100="",$B100="",$C100="",$D100="",$E100="",$F100="",$G100="",$H100=""),NOT($S100="")),"",ROUND($C100*($D100+$E100)/60,4))</f>
        <v/>
      </c>
      <c r="J100" s="18" t="str">
        <f aca="false">IF(OR(AND($A100="",$B100="",$C100="",$D100="",$E100="",$F100="",$G100="",$H100=""),NOT($S100="")),"",ROUND(ROUND($C100*($D100+$E100)/60*$B$5,9),2))</f>
        <v/>
      </c>
      <c r="K100" s="18" t="str">
        <f aca="false">IF(OR(AND($A100="",$B100="",$C100="",$D100="",$E100="",$F100="",$G100="",$H100=""),NOT($S100="")),"",ROUND(ROUND($C100*$F100*$B$6,9),2))</f>
        <v/>
      </c>
      <c r="L100" s="18" t="str">
        <f aca="false">IF(OR(AND($A100="",$B100="",$C100="",$D100="",$E100="",$F100="",$G100="",$H100=""),NOT($S100="")),"",ROUND(ROUND($C100*$G100,9),2))</f>
        <v/>
      </c>
      <c r="M100" s="19" t="str">
        <f aca="false">IF(OR(AND($A100="",$B100="",$C100="",$D100="",$E100="",$F100="",$G100="",$H100=""),NOT($S100="")),"",ROUND($J100+$K100+$L100+$H100,2))</f>
        <v/>
      </c>
      <c r="N100" s="19" t="str">
        <f aca="false">IF(OR(AND($A100="",$B100="",$C100="",$D100="",$E100="",$F100="",$G100="",$H100=""),NOT($S100="")),"",ROUND($B100-$M100,2))</f>
        <v/>
      </c>
      <c r="O100" s="20" t="str">
        <f aca="false">IF(OR(AND($A100="",$B100="",$C100="",$D100="",$E100="",$F100="",$G100="",$H100=""),NOT($S100="")),"",IF($B100=0,"n/a",INT(ROUND($N100/$B100*10000,6))/10000))</f>
        <v/>
      </c>
      <c r="P100" s="18" t="str">
        <f aca="false">IF(OR(AND($A100="",$B100="",$C100="",$D100="",$E100="",$F100="",$G100="",$H100=""),NOT($S100="")),"",ROUNDUP(ROUND($M100*10000/(10000-TargetH),9),2))</f>
        <v/>
      </c>
      <c r="Q100" s="18" t="str">
        <f aca="false">IF(OR(AND($A100="",$B100="",$C100="",$D100="",$E100="",$F100="",$G100="",$H100=""),NOT($S100="")),"",MAX(0,ROUND($P100-$B100,2)))</f>
        <v/>
      </c>
      <c r="R100" s="21" t="str">
        <f aca="false">IF(AND($A100="",$B100="",$C100="",$D100="",$E100="",$F100="",$G100="",$H100=""),"",IF(NOT($S100=""),"Check inputs",IF($B100=0,"No fee entered",IF($N100&lt;0,"Losing money on entered costs",IF(ROUND($N100*100,0)*10000&lt;TargetH*ROUND($B100*100,0),"Below your target","Meets your target")))))</f>
        <v/>
      </c>
      <c r="S100" s="22" t="str">
        <f aca="false">IF(AND($A100="",$B100="",$C100="",$D100="",$E100="",$F100="",$G100="",$H100=""),"",TRIM(IF($A100="","Customer/site label is missing. ","")&amp;IF($B100="","Monthly fee is missing. ",IF(NOT(ISNUMBER($B100)),"Monthly fee must be a number. ",IF($B100&lt;0,"Monthly fee can't be negative. ",IF(ROUND($B100,2)&lt;&gt;$B100,"Monthly fee: use up to 2 decimal places. ",IF($B100&gt;99999.99,"Monthly fee: use 99,999.99 or less. ","")))))&amp;IF($C100="","Visits per month is missing. ",IF(NOT(ISNUMBER($C100)),"Visits per month must be a number. ",IF($C100&lt;0,"Visits per month can't be negative. ",IF(ROUND($C100,3)&lt;&gt;$C100,"Visits per month: use up to 3 decimal places. ",IF($C100=0,"Visits per month must be more than 0. ",IF($C100&gt;31,"Visits per month: use 31 or less. ",""))))))&amp;IF($D100="","Service minutes per visit is missing. ",IF(NOT(ISNUMBER($D100)),"Service minutes per visit must be a number. ",IF($D100&lt;0,"Service minutes per visit can't be negative. ",IF(ROUND($D100,2)&lt;&gt;$D100,"Service minutes per visit: use up to 2 decimal places. ",IF($D100=0,"Service minutes per visit must be more than 0. ",IF($D100&gt;600,"Service minutes per visit: use 600 or less. ",""))))))&amp;IF($E100="","Drive minutes per visit is missing. ",IF(NOT(ISNUMBER($E100)),"Drive minutes per visit must be a number. ",IF($E100&lt;0,"Drive minutes per visit can't be negative. ",IF(ROUND($E100,2)&lt;&gt;$E100,"Drive minutes per visit: use up to 2 decimal places. ",IF($E100&gt;600,"Drive minutes per visit: use 600 or less. ","")))))&amp;IF($F100="","Drive miles per visit is missing. ",IF(NOT(ISNUMBER($F100)),"Drive miles per visit must be a number. ",IF($F100&lt;0,"Drive miles per visit can't be negative. ",IF(ROUND($F100,2)&lt;&gt;$F100,"Drive miles per visit: use up to 2 decimal places. ",IF($F100&gt;1000,"Drive miles per visit: use 1,000 or less. ","")))))&amp;IF($G100="","Chemicals per visit is missing. ",IF(NOT(ISNUMBER($G100)),"Chemicals per visit must be a number. ",IF($G100&lt;0,"Chemicals per visit can't be negative. ",IF(ROUND($G100,2)&lt;&gt;$G100,"Chemicals per visit: use up to 2 decimal places. ",IF($G100&gt;9999.99,"Chemicals per visit: use 9,999.99 or less. ","")))))&amp;IF($H100="","Other monthly costs is missing. ",IF(NOT(ISNUMBER($H100)),"Other monthly costs must be a number. ",IF($H100&lt;0,"Other monthly costs can't be negative. ",IF(ROUND($H100,2)&lt;&gt;$H100,"Other monthly costs: use up to 2 decimal places. ",IF($H100&gt;99999.99,"Other monthly costs: use 99,999.99 or less. ","")))))&amp;IF(SettingsOK,"","Settings incomplete.")))</f>
        <v/>
      </c>
      <c r="T100" s="23" t="str">
        <f aca="false">IF(AND($A100="",$B100="",$C100="",$D100="",$E100="",$F100="",$G100="",$H100=""),"",IF(Review!$B$5="Check inputs",IF($R100="Check inputs",ROW(),""),IF($R100="Check inputs",IF(Review!$B$5="All accounts",-2000000000000000+ROW(),""),IF(AND(Review!$B$5="Needs review",$R100="Meets your target"),"",IF($R100="No fee entered",-1000000000000000+ROW(),$N100/$B100+ROW()/1000000000)))))</f>
        <v/>
      </c>
    </row>
    <row r="101" customFormat="false" ht="15" hidden="false" customHeight="false" outlineLevel="0" collapsed="false">
      <c r="A101" s="14"/>
      <c r="B101" s="15"/>
      <c r="C101" s="16"/>
      <c r="D101" s="14"/>
      <c r="E101" s="14"/>
      <c r="F101" s="14"/>
      <c r="G101" s="15"/>
      <c r="H101" s="15"/>
      <c r="I101" s="17" t="str">
        <f aca="false">IF(OR(AND($A101="",$B101="",$C101="",$D101="",$E101="",$F101="",$G101="",$H101=""),NOT($S101="")),"",ROUND($C101*($D101+$E101)/60,4))</f>
        <v/>
      </c>
      <c r="J101" s="18" t="str">
        <f aca="false">IF(OR(AND($A101="",$B101="",$C101="",$D101="",$E101="",$F101="",$G101="",$H101=""),NOT($S101="")),"",ROUND(ROUND($C101*($D101+$E101)/60*$B$5,9),2))</f>
        <v/>
      </c>
      <c r="K101" s="18" t="str">
        <f aca="false">IF(OR(AND($A101="",$B101="",$C101="",$D101="",$E101="",$F101="",$G101="",$H101=""),NOT($S101="")),"",ROUND(ROUND($C101*$F101*$B$6,9),2))</f>
        <v/>
      </c>
      <c r="L101" s="18" t="str">
        <f aca="false">IF(OR(AND($A101="",$B101="",$C101="",$D101="",$E101="",$F101="",$G101="",$H101=""),NOT($S101="")),"",ROUND(ROUND($C101*$G101,9),2))</f>
        <v/>
      </c>
      <c r="M101" s="19" t="str">
        <f aca="false">IF(OR(AND($A101="",$B101="",$C101="",$D101="",$E101="",$F101="",$G101="",$H101=""),NOT($S101="")),"",ROUND($J101+$K101+$L101+$H101,2))</f>
        <v/>
      </c>
      <c r="N101" s="19" t="str">
        <f aca="false">IF(OR(AND($A101="",$B101="",$C101="",$D101="",$E101="",$F101="",$G101="",$H101=""),NOT($S101="")),"",ROUND($B101-$M101,2))</f>
        <v/>
      </c>
      <c r="O101" s="20" t="str">
        <f aca="false">IF(OR(AND($A101="",$B101="",$C101="",$D101="",$E101="",$F101="",$G101="",$H101=""),NOT($S101="")),"",IF($B101=0,"n/a",INT(ROUND($N101/$B101*10000,6))/10000))</f>
        <v/>
      </c>
      <c r="P101" s="18" t="str">
        <f aca="false">IF(OR(AND($A101="",$B101="",$C101="",$D101="",$E101="",$F101="",$G101="",$H101=""),NOT($S101="")),"",ROUNDUP(ROUND($M101*10000/(10000-TargetH),9),2))</f>
        <v/>
      </c>
      <c r="Q101" s="18" t="str">
        <f aca="false">IF(OR(AND($A101="",$B101="",$C101="",$D101="",$E101="",$F101="",$G101="",$H101=""),NOT($S101="")),"",MAX(0,ROUND($P101-$B101,2)))</f>
        <v/>
      </c>
      <c r="R101" s="21" t="str">
        <f aca="false">IF(AND($A101="",$B101="",$C101="",$D101="",$E101="",$F101="",$G101="",$H101=""),"",IF(NOT($S101=""),"Check inputs",IF($B101=0,"No fee entered",IF($N101&lt;0,"Losing money on entered costs",IF(ROUND($N101*100,0)*10000&lt;TargetH*ROUND($B101*100,0),"Below your target","Meets your target")))))</f>
        <v/>
      </c>
      <c r="S101" s="22" t="str">
        <f aca="false">IF(AND($A101="",$B101="",$C101="",$D101="",$E101="",$F101="",$G101="",$H101=""),"",TRIM(IF($A101="","Customer/site label is missing. ","")&amp;IF($B101="","Monthly fee is missing. ",IF(NOT(ISNUMBER($B101)),"Monthly fee must be a number. ",IF($B101&lt;0,"Monthly fee can't be negative. ",IF(ROUND($B101,2)&lt;&gt;$B101,"Monthly fee: use up to 2 decimal places. ",IF($B101&gt;99999.99,"Monthly fee: use 99,999.99 or less. ","")))))&amp;IF($C101="","Visits per month is missing. ",IF(NOT(ISNUMBER($C101)),"Visits per month must be a number. ",IF($C101&lt;0,"Visits per month can't be negative. ",IF(ROUND($C101,3)&lt;&gt;$C101,"Visits per month: use up to 3 decimal places. ",IF($C101=0,"Visits per month must be more than 0. ",IF($C101&gt;31,"Visits per month: use 31 or less. ",""))))))&amp;IF($D101="","Service minutes per visit is missing. ",IF(NOT(ISNUMBER($D101)),"Service minutes per visit must be a number. ",IF($D101&lt;0,"Service minutes per visit can't be negative. ",IF(ROUND($D101,2)&lt;&gt;$D101,"Service minutes per visit: use up to 2 decimal places. ",IF($D101=0,"Service minutes per visit must be more than 0. ",IF($D101&gt;600,"Service minutes per visit: use 600 or less. ",""))))))&amp;IF($E101="","Drive minutes per visit is missing. ",IF(NOT(ISNUMBER($E101)),"Drive minutes per visit must be a number. ",IF($E101&lt;0,"Drive minutes per visit can't be negative. ",IF(ROUND($E101,2)&lt;&gt;$E101,"Drive minutes per visit: use up to 2 decimal places. ",IF($E101&gt;600,"Drive minutes per visit: use 600 or less. ","")))))&amp;IF($F101="","Drive miles per visit is missing. ",IF(NOT(ISNUMBER($F101)),"Drive miles per visit must be a number. ",IF($F101&lt;0,"Drive miles per visit can't be negative. ",IF(ROUND($F101,2)&lt;&gt;$F101,"Drive miles per visit: use up to 2 decimal places. ",IF($F101&gt;1000,"Drive miles per visit: use 1,000 or less. ","")))))&amp;IF($G101="","Chemicals per visit is missing. ",IF(NOT(ISNUMBER($G101)),"Chemicals per visit must be a number. ",IF($G101&lt;0,"Chemicals per visit can't be negative. ",IF(ROUND($G101,2)&lt;&gt;$G101,"Chemicals per visit: use up to 2 decimal places. ",IF($G101&gt;9999.99,"Chemicals per visit: use 9,999.99 or less. ","")))))&amp;IF($H101="","Other monthly costs is missing. ",IF(NOT(ISNUMBER($H101)),"Other monthly costs must be a number. ",IF($H101&lt;0,"Other monthly costs can't be negative. ",IF(ROUND($H101,2)&lt;&gt;$H101,"Other monthly costs: use up to 2 decimal places. ",IF($H101&gt;99999.99,"Other monthly costs: use 99,999.99 or less. ","")))))&amp;IF(SettingsOK,"","Settings incomplete.")))</f>
        <v/>
      </c>
      <c r="T101" s="23" t="str">
        <f aca="false">IF(AND($A101="",$B101="",$C101="",$D101="",$E101="",$F101="",$G101="",$H101=""),"",IF(Review!$B$5="Check inputs",IF($R101="Check inputs",ROW(),""),IF($R101="Check inputs",IF(Review!$B$5="All accounts",-2000000000000000+ROW(),""),IF(AND(Review!$B$5="Needs review",$R101="Meets your target"),"",IF($R101="No fee entered",-1000000000000000+ROW(),$N101/$B101+ROW()/1000000000)))))</f>
        <v/>
      </c>
    </row>
    <row r="102" customFormat="false" ht="15" hidden="false" customHeight="false" outlineLevel="0" collapsed="false">
      <c r="A102" s="14"/>
      <c r="B102" s="15"/>
      <c r="C102" s="16"/>
      <c r="D102" s="14"/>
      <c r="E102" s="14"/>
      <c r="F102" s="14"/>
      <c r="G102" s="15"/>
      <c r="H102" s="15"/>
      <c r="I102" s="17" t="str">
        <f aca="false">IF(OR(AND($A102="",$B102="",$C102="",$D102="",$E102="",$F102="",$G102="",$H102=""),NOT($S102="")),"",ROUND($C102*($D102+$E102)/60,4))</f>
        <v/>
      </c>
      <c r="J102" s="18" t="str">
        <f aca="false">IF(OR(AND($A102="",$B102="",$C102="",$D102="",$E102="",$F102="",$G102="",$H102=""),NOT($S102="")),"",ROUND(ROUND($C102*($D102+$E102)/60*$B$5,9),2))</f>
        <v/>
      </c>
      <c r="K102" s="18" t="str">
        <f aca="false">IF(OR(AND($A102="",$B102="",$C102="",$D102="",$E102="",$F102="",$G102="",$H102=""),NOT($S102="")),"",ROUND(ROUND($C102*$F102*$B$6,9),2))</f>
        <v/>
      </c>
      <c r="L102" s="18" t="str">
        <f aca="false">IF(OR(AND($A102="",$B102="",$C102="",$D102="",$E102="",$F102="",$G102="",$H102=""),NOT($S102="")),"",ROUND(ROUND($C102*$G102,9),2))</f>
        <v/>
      </c>
      <c r="M102" s="19" t="str">
        <f aca="false">IF(OR(AND($A102="",$B102="",$C102="",$D102="",$E102="",$F102="",$G102="",$H102=""),NOT($S102="")),"",ROUND($J102+$K102+$L102+$H102,2))</f>
        <v/>
      </c>
      <c r="N102" s="19" t="str">
        <f aca="false">IF(OR(AND($A102="",$B102="",$C102="",$D102="",$E102="",$F102="",$G102="",$H102=""),NOT($S102="")),"",ROUND($B102-$M102,2))</f>
        <v/>
      </c>
      <c r="O102" s="20" t="str">
        <f aca="false">IF(OR(AND($A102="",$B102="",$C102="",$D102="",$E102="",$F102="",$G102="",$H102=""),NOT($S102="")),"",IF($B102=0,"n/a",INT(ROUND($N102/$B102*10000,6))/10000))</f>
        <v/>
      </c>
      <c r="P102" s="18" t="str">
        <f aca="false">IF(OR(AND($A102="",$B102="",$C102="",$D102="",$E102="",$F102="",$G102="",$H102=""),NOT($S102="")),"",ROUNDUP(ROUND($M102*10000/(10000-TargetH),9),2))</f>
        <v/>
      </c>
      <c r="Q102" s="18" t="str">
        <f aca="false">IF(OR(AND($A102="",$B102="",$C102="",$D102="",$E102="",$F102="",$G102="",$H102=""),NOT($S102="")),"",MAX(0,ROUND($P102-$B102,2)))</f>
        <v/>
      </c>
      <c r="R102" s="21" t="str">
        <f aca="false">IF(AND($A102="",$B102="",$C102="",$D102="",$E102="",$F102="",$G102="",$H102=""),"",IF(NOT($S102=""),"Check inputs",IF($B102=0,"No fee entered",IF($N102&lt;0,"Losing money on entered costs",IF(ROUND($N102*100,0)*10000&lt;TargetH*ROUND($B102*100,0),"Below your target","Meets your target")))))</f>
        <v/>
      </c>
      <c r="S102" s="22" t="str">
        <f aca="false">IF(AND($A102="",$B102="",$C102="",$D102="",$E102="",$F102="",$G102="",$H102=""),"",TRIM(IF($A102="","Customer/site label is missing. ","")&amp;IF($B102="","Monthly fee is missing. ",IF(NOT(ISNUMBER($B102)),"Monthly fee must be a number. ",IF($B102&lt;0,"Monthly fee can't be negative. ",IF(ROUND($B102,2)&lt;&gt;$B102,"Monthly fee: use up to 2 decimal places. ",IF($B102&gt;99999.99,"Monthly fee: use 99,999.99 or less. ","")))))&amp;IF($C102="","Visits per month is missing. ",IF(NOT(ISNUMBER($C102)),"Visits per month must be a number. ",IF($C102&lt;0,"Visits per month can't be negative. ",IF(ROUND($C102,3)&lt;&gt;$C102,"Visits per month: use up to 3 decimal places. ",IF($C102=0,"Visits per month must be more than 0. ",IF($C102&gt;31,"Visits per month: use 31 or less. ",""))))))&amp;IF($D102="","Service minutes per visit is missing. ",IF(NOT(ISNUMBER($D102)),"Service minutes per visit must be a number. ",IF($D102&lt;0,"Service minutes per visit can't be negative. ",IF(ROUND($D102,2)&lt;&gt;$D102,"Service minutes per visit: use up to 2 decimal places. ",IF($D102=0,"Service minutes per visit must be more than 0. ",IF($D102&gt;600,"Service minutes per visit: use 600 or less. ",""))))))&amp;IF($E102="","Drive minutes per visit is missing. ",IF(NOT(ISNUMBER($E102)),"Drive minutes per visit must be a number. ",IF($E102&lt;0,"Drive minutes per visit can't be negative. ",IF(ROUND($E102,2)&lt;&gt;$E102,"Drive minutes per visit: use up to 2 decimal places. ",IF($E102&gt;600,"Drive minutes per visit: use 600 or less. ","")))))&amp;IF($F102="","Drive miles per visit is missing. ",IF(NOT(ISNUMBER($F102)),"Drive miles per visit must be a number. ",IF($F102&lt;0,"Drive miles per visit can't be negative. ",IF(ROUND($F102,2)&lt;&gt;$F102,"Drive miles per visit: use up to 2 decimal places. ",IF($F102&gt;1000,"Drive miles per visit: use 1,000 or less. ","")))))&amp;IF($G102="","Chemicals per visit is missing. ",IF(NOT(ISNUMBER($G102)),"Chemicals per visit must be a number. ",IF($G102&lt;0,"Chemicals per visit can't be negative. ",IF(ROUND($G102,2)&lt;&gt;$G102,"Chemicals per visit: use up to 2 decimal places. ",IF($G102&gt;9999.99,"Chemicals per visit: use 9,999.99 or less. ","")))))&amp;IF($H102="","Other monthly costs is missing. ",IF(NOT(ISNUMBER($H102)),"Other monthly costs must be a number. ",IF($H102&lt;0,"Other monthly costs can't be negative. ",IF(ROUND($H102,2)&lt;&gt;$H102,"Other monthly costs: use up to 2 decimal places. ",IF($H102&gt;99999.99,"Other monthly costs: use 99,999.99 or less. ","")))))&amp;IF(SettingsOK,"","Settings incomplete.")))</f>
        <v/>
      </c>
      <c r="T102" s="23" t="str">
        <f aca="false">IF(AND($A102="",$B102="",$C102="",$D102="",$E102="",$F102="",$G102="",$H102=""),"",IF(Review!$B$5="Check inputs",IF($R102="Check inputs",ROW(),""),IF($R102="Check inputs",IF(Review!$B$5="All accounts",-2000000000000000+ROW(),""),IF(AND(Review!$B$5="Needs review",$R102="Meets your target"),"",IF($R102="No fee entered",-1000000000000000+ROW(),$N102/$B102+ROW()/1000000000)))))</f>
        <v/>
      </c>
    </row>
    <row r="103" customFormat="false" ht="15" hidden="false" customHeight="false" outlineLevel="0" collapsed="false">
      <c r="A103" s="14"/>
      <c r="B103" s="15"/>
      <c r="C103" s="16"/>
      <c r="D103" s="14"/>
      <c r="E103" s="14"/>
      <c r="F103" s="14"/>
      <c r="G103" s="15"/>
      <c r="H103" s="15"/>
      <c r="I103" s="17" t="str">
        <f aca="false">IF(OR(AND($A103="",$B103="",$C103="",$D103="",$E103="",$F103="",$G103="",$H103=""),NOT($S103="")),"",ROUND($C103*($D103+$E103)/60,4))</f>
        <v/>
      </c>
      <c r="J103" s="18" t="str">
        <f aca="false">IF(OR(AND($A103="",$B103="",$C103="",$D103="",$E103="",$F103="",$G103="",$H103=""),NOT($S103="")),"",ROUND(ROUND($C103*($D103+$E103)/60*$B$5,9),2))</f>
        <v/>
      </c>
      <c r="K103" s="18" t="str">
        <f aca="false">IF(OR(AND($A103="",$B103="",$C103="",$D103="",$E103="",$F103="",$G103="",$H103=""),NOT($S103="")),"",ROUND(ROUND($C103*$F103*$B$6,9),2))</f>
        <v/>
      </c>
      <c r="L103" s="18" t="str">
        <f aca="false">IF(OR(AND($A103="",$B103="",$C103="",$D103="",$E103="",$F103="",$G103="",$H103=""),NOT($S103="")),"",ROUND(ROUND($C103*$G103,9),2))</f>
        <v/>
      </c>
      <c r="M103" s="19" t="str">
        <f aca="false">IF(OR(AND($A103="",$B103="",$C103="",$D103="",$E103="",$F103="",$G103="",$H103=""),NOT($S103="")),"",ROUND($J103+$K103+$L103+$H103,2))</f>
        <v/>
      </c>
      <c r="N103" s="19" t="str">
        <f aca="false">IF(OR(AND($A103="",$B103="",$C103="",$D103="",$E103="",$F103="",$G103="",$H103=""),NOT($S103="")),"",ROUND($B103-$M103,2))</f>
        <v/>
      </c>
      <c r="O103" s="20" t="str">
        <f aca="false">IF(OR(AND($A103="",$B103="",$C103="",$D103="",$E103="",$F103="",$G103="",$H103=""),NOT($S103="")),"",IF($B103=0,"n/a",INT(ROUND($N103/$B103*10000,6))/10000))</f>
        <v/>
      </c>
      <c r="P103" s="18" t="str">
        <f aca="false">IF(OR(AND($A103="",$B103="",$C103="",$D103="",$E103="",$F103="",$G103="",$H103=""),NOT($S103="")),"",ROUNDUP(ROUND($M103*10000/(10000-TargetH),9),2))</f>
        <v/>
      </c>
      <c r="Q103" s="18" t="str">
        <f aca="false">IF(OR(AND($A103="",$B103="",$C103="",$D103="",$E103="",$F103="",$G103="",$H103=""),NOT($S103="")),"",MAX(0,ROUND($P103-$B103,2)))</f>
        <v/>
      </c>
      <c r="R103" s="21" t="str">
        <f aca="false">IF(AND($A103="",$B103="",$C103="",$D103="",$E103="",$F103="",$G103="",$H103=""),"",IF(NOT($S103=""),"Check inputs",IF($B103=0,"No fee entered",IF($N103&lt;0,"Losing money on entered costs",IF(ROUND($N103*100,0)*10000&lt;TargetH*ROUND($B103*100,0),"Below your target","Meets your target")))))</f>
        <v/>
      </c>
      <c r="S103" s="22" t="str">
        <f aca="false">IF(AND($A103="",$B103="",$C103="",$D103="",$E103="",$F103="",$G103="",$H103=""),"",TRIM(IF($A103="","Customer/site label is missing. ","")&amp;IF($B103="","Monthly fee is missing. ",IF(NOT(ISNUMBER($B103)),"Monthly fee must be a number. ",IF($B103&lt;0,"Monthly fee can't be negative. ",IF(ROUND($B103,2)&lt;&gt;$B103,"Monthly fee: use up to 2 decimal places. ",IF($B103&gt;99999.99,"Monthly fee: use 99,999.99 or less. ","")))))&amp;IF($C103="","Visits per month is missing. ",IF(NOT(ISNUMBER($C103)),"Visits per month must be a number. ",IF($C103&lt;0,"Visits per month can't be negative. ",IF(ROUND($C103,3)&lt;&gt;$C103,"Visits per month: use up to 3 decimal places. ",IF($C103=0,"Visits per month must be more than 0. ",IF($C103&gt;31,"Visits per month: use 31 or less. ",""))))))&amp;IF($D103="","Service minutes per visit is missing. ",IF(NOT(ISNUMBER($D103)),"Service minutes per visit must be a number. ",IF($D103&lt;0,"Service minutes per visit can't be negative. ",IF(ROUND($D103,2)&lt;&gt;$D103,"Service minutes per visit: use up to 2 decimal places. ",IF($D103=0,"Service minutes per visit must be more than 0. ",IF($D103&gt;600,"Service minutes per visit: use 600 or less. ",""))))))&amp;IF($E103="","Drive minutes per visit is missing. ",IF(NOT(ISNUMBER($E103)),"Drive minutes per visit must be a number. ",IF($E103&lt;0,"Drive minutes per visit can't be negative. ",IF(ROUND($E103,2)&lt;&gt;$E103,"Drive minutes per visit: use up to 2 decimal places. ",IF($E103&gt;600,"Drive minutes per visit: use 600 or less. ","")))))&amp;IF($F103="","Drive miles per visit is missing. ",IF(NOT(ISNUMBER($F103)),"Drive miles per visit must be a number. ",IF($F103&lt;0,"Drive miles per visit can't be negative. ",IF(ROUND($F103,2)&lt;&gt;$F103,"Drive miles per visit: use up to 2 decimal places. ",IF($F103&gt;1000,"Drive miles per visit: use 1,000 or less. ","")))))&amp;IF($G103="","Chemicals per visit is missing. ",IF(NOT(ISNUMBER($G103)),"Chemicals per visit must be a number. ",IF($G103&lt;0,"Chemicals per visit can't be negative. ",IF(ROUND($G103,2)&lt;&gt;$G103,"Chemicals per visit: use up to 2 decimal places. ",IF($G103&gt;9999.99,"Chemicals per visit: use 9,999.99 or less. ","")))))&amp;IF($H103="","Other monthly costs is missing. ",IF(NOT(ISNUMBER($H103)),"Other monthly costs must be a number. ",IF($H103&lt;0,"Other monthly costs can't be negative. ",IF(ROUND($H103,2)&lt;&gt;$H103,"Other monthly costs: use up to 2 decimal places. ",IF($H103&gt;99999.99,"Other monthly costs: use 99,999.99 or less. ","")))))&amp;IF(SettingsOK,"","Settings incomplete.")))</f>
        <v/>
      </c>
      <c r="T103" s="23" t="str">
        <f aca="false">IF(AND($A103="",$B103="",$C103="",$D103="",$E103="",$F103="",$G103="",$H103=""),"",IF(Review!$B$5="Check inputs",IF($R103="Check inputs",ROW(),""),IF($R103="Check inputs",IF(Review!$B$5="All accounts",-2000000000000000+ROW(),""),IF(AND(Review!$B$5="Needs review",$R103="Meets your target"),"",IF($R103="No fee entered",-1000000000000000+ROW(),$N103/$B103+ROW()/1000000000)))))</f>
        <v/>
      </c>
    </row>
    <row r="104" customFormat="false" ht="15" hidden="false" customHeight="false" outlineLevel="0" collapsed="false">
      <c r="A104" s="14"/>
      <c r="B104" s="15"/>
      <c r="C104" s="16"/>
      <c r="D104" s="14"/>
      <c r="E104" s="14"/>
      <c r="F104" s="14"/>
      <c r="G104" s="15"/>
      <c r="H104" s="15"/>
      <c r="I104" s="17" t="str">
        <f aca="false">IF(OR(AND($A104="",$B104="",$C104="",$D104="",$E104="",$F104="",$G104="",$H104=""),NOT($S104="")),"",ROUND($C104*($D104+$E104)/60,4))</f>
        <v/>
      </c>
      <c r="J104" s="18" t="str">
        <f aca="false">IF(OR(AND($A104="",$B104="",$C104="",$D104="",$E104="",$F104="",$G104="",$H104=""),NOT($S104="")),"",ROUND(ROUND($C104*($D104+$E104)/60*$B$5,9),2))</f>
        <v/>
      </c>
      <c r="K104" s="18" t="str">
        <f aca="false">IF(OR(AND($A104="",$B104="",$C104="",$D104="",$E104="",$F104="",$G104="",$H104=""),NOT($S104="")),"",ROUND(ROUND($C104*$F104*$B$6,9),2))</f>
        <v/>
      </c>
      <c r="L104" s="18" t="str">
        <f aca="false">IF(OR(AND($A104="",$B104="",$C104="",$D104="",$E104="",$F104="",$G104="",$H104=""),NOT($S104="")),"",ROUND(ROUND($C104*$G104,9),2))</f>
        <v/>
      </c>
      <c r="M104" s="19" t="str">
        <f aca="false">IF(OR(AND($A104="",$B104="",$C104="",$D104="",$E104="",$F104="",$G104="",$H104=""),NOT($S104="")),"",ROUND($J104+$K104+$L104+$H104,2))</f>
        <v/>
      </c>
      <c r="N104" s="19" t="str">
        <f aca="false">IF(OR(AND($A104="",$B104="",$C104="",$D104="",$E104="",$F104="",$G104="",$H104=""),NOT($S104="")),"",ROUND($B104-$M104,2))</f>
        <v/>
      </c>
      <c r="O104" s="20" t="str">
        <f aca="false">IF(OR(AND($A104="",$B104="",$C104="",$D104="",$E104="",$F104="",$G104="",$H104=""),NOT($S104="")),"",IF($B104=0,"n/a",INT(ROUND($N104/$B104*10000,6))/10000))</f>
        <v/>
      </c>
      <c r="P104" s="18" t="str">
        <f aca="false">IF(OR(AND($A104="",$B104="",$C104="",$D104="",$E104="",$F104="",$G104="",$H104=""),NOT($S104="")),"",ROUNDUP(ROUND($M104*10000/(10000-TargetH),9),2))</f>
        <v/>
      </c>
      <c r="Q104" s="18" t="str">
        <f aca="false">IF(OR(AND($A104="",$B104="",$C104="",$D104="",$E104="",$F104="",$G104="",$H104=""),NOT($S104="")),"",MAX(0,ROUND($P104-$B104,2)))</f>
        <v/>
      </c>
      <c r="R104" s="21" t="str">
        <f aca="false">IF(AND($A104="",$B104="",$C104="",$D104="",$E104="",$F104="",$G104="",$H104=""),"",IF(NOT($S104=""),"Check inputs",IF($B104=0,"No fee entered",IF($N104&lt;0,"Losing money on entered costs",IF(ROUND($N104*100,0)*10000&lt;TargetH*ROUND($B104*100,0),"Below your target","Meets your target")))))</f>
        <v/>
      </c>
      <c r="S104" s="22" t="str">
        <f aca="false">IF(AND($A104="",$B104="",$C104="",$D104="",$E104="",$F104="",$G104="",$H104=""),"",TRIM(IF($A104="","Customer/site label is missing. ","")&amp;IF($B104="","Monthly fee is missing. ",IF(NOT(ISNUMBER($B104)),"Monthly fee must be a number. ",IF($B104&lt;0,"Monthly fee can't be negative. ",IF(ROUND($B104,2)&lt;&gt;$B104,"Monthly fee: use up to 2 decimal places. ",IF($B104&gt;99999.99,"Monthly fee: use 99,999.99 or less. ","")))))&amp;IF($C104="","Visits per month is missing. ",IF(NOT(ISNUMBER($C104)),"Visits per month must be a number. ",IF($C104&lt;0,"Visits per month can't be negative. ",IF(ROUND($C104,3)&lt;&gt;$C104,"Visits per month: use up to 3 decimal places. ",IF($C104=0,"Visits per month must be more than 0. ",IF($C104&gt;31,"Visits per month: use 31 or less. ",""))))))&amp;IF($D104="","Service minutes per visit is missing. ",IF(NOT(ISNUMBER($D104)),"Service minutes per visit must be a number. ",IF($D104&lt;0,"Service minutes per visit can't be negative. ",IF(ROUND($D104,2)&lt;&gt;$D104,"Service minutes per visit: use up to 2 decimal places. ",IF($D104=0,"Service minutes per visit must be more than 0. ",IF($D104&gt;600,"Service minutes per visit: use 600 or less. ",""))))))&amp;IF($E104="","Drive minutes per visit is missing. ",IF(NOT(ISNUMBER($E104)),"Drive minutes per visit must be a number. ",IF($E104&lt;0,"Drive minutes per visit can't be negative. ",IF(ROUND($E104,2)&lt;&gt;$E104,"Drive minutes per visit: use up to 2 decimal places. ",IF($E104&gt;600,"Drive minutes per visit: use 600 or less. ","")))))&amp;IF($F104="","Drive miles per visit is missing. ",IF(NOT(ISNUMBER($F104)),"Drive miles per visit must be a number. ",IF($F104&lt;0,"Drive miles per visit can't be negative. ",IF(ROUND($F104,2)&lt;&gt;$F104,"Drive miles per visit: use up to 2 decimal places. ",IF($F104&gt;1000,"Drive miles per visit: use 1,000 or less. ","")))))&amp;IF($G104="","Chemicals per visit is missing. ",IF(NOT(ISNUMBER($G104)),"Chemicals per visit must be a number. ",IF($G104&lt;0,"Chemicals per visit can't be negative. ",IF(ROUND($G104,2)&lt;&gt;$G104,"Chemicals per visit: use up to 2 decimal places. ",IF($G104&gt;9999.99,"Chemicals per visit: use 9,999.99 or less. ","")))))&amp;IF($H104="","Other monthly costs is missing. ",IF(NOT(ISNUMBER($H104)),"Other monthly costs must be a number. ",IF($H104&lt;0,"Other monthly costs can't be negative. ",IF(ROUND($H104,2)&lt;&gt;$H104,"Other monthly costs: use up to 2 decimal places. ",IF($H104&gt;99999.99,"Other monthly costs: use 99,999.99 or less. ","")))))&amp;IF(SettingsOK,"","Settings incomplete.")))</f>
        <v/>
      </c>
      <c r="T104" s="23" t="str">
        <f aca="false">IF(AND($A104="",$B104="",$C104="",$D104="",$E104="",$F104="",$G104="",$H104=""),"",IF(Review!$B$5="Check inputs",IF($R104="Check inputs",ROW(),""),IF($R104="Check inputs",IF(Review!$B$5="All accounts",-2000000000000000+ROW(),""),IF(AND(Review!$B$5="Needs review",$R104="Meets your target"),"",IF($R104="No fee entered",-1000000000000000+ROW(),$N104/$B104+ROW()/1000000000)))))</f>
        <v/>
      </c>
    </row>
    <row r="105" customFormat="false" ht="15" hidden="false" customHeight="false" outlineLevel="0" collapsed="false">
      <c r="A105" s="14"/>
      <c r="B105" s="15"/>
      <c r="C105" s="16"/>
      <c r="D105" s="14"/>
      <c r="E105" s="14"/>
      <c r="F105" s="14"/>
      <c r="G105" s="15"/>
      <c r="H105" s="15"/>
      <c r="I105" s="17" t="str">
        <f aca="false">IF(OR(AND($A105="",$B105="",$C105="",$D105="",$E105="",$F105="",$G105="",$H105=""),NOT($S105="")),"",ROUND($C105*($D105+$E105)/60,4))</f>
        <v/>
      </c>
      <c r="J105" s="18" t="str">
        <f aca="false">IF(OR(AND($A105="",$B105="",$C105="",$D105="",$E105="",$F105="",$G105="",$H105=""),NOT($S105="")),"",ROUND(ROUND($C105*($D105+$E105)/60*$B$5,9),2))</f>
        <v/>
      </c>
      <c r="K105" s="18" t="str">
        <f aca="false">IF(OR(AND($A105="",$B105="",$C105="",$D105="",$E105="",$F105="",$G105="",$H105=""),NOT($S105="")),"",ROUND(ROUND($C105*$F105*$B$6,9),2))</f>
        <v/>
      </c>
      <c r="L105" s="18" t="str">
        <f aca="false">IF(OR(AND($A105="",$B105="",$C105="",$D105="",$E105="",$F105="",$G105="",$H105=""),NOT($S105="")),"",ROUND(ROUND($C105*$G105,9),2))</f>
        <v/>
      </c>
      <c r="M105" s="19" t="str">
        <f aca="false">IF(OR(AND($A105="",$B105="",$C105="",$D105="",$E105="",$F105="",$G105="",$H105=""),NOT($S105="")),"",ROUND($J105+$K105+$L105+$H105,2))</f>
        <v/>
      </c>
      <c r="N105" s="19" t="str">
        <f aca="false">IF(OR(AND($A105="",$B105="",$C105="",$D105="",$E105="",$F105="",$G105="",$H105=""),NOT($S105="")),"",ROUND($B105-$M105,2))</f>
        <v/>
      </c>
      <c r="O105" s="20" t="str">
        <f aca="false">IF(OR(AND($A105="",$B105="",$C105="",$D105="",$E105="",$F105="",$G105="",$H105=""),NOT($S105="")),"",IF($B105=0,"n/a",INT(ROUND($N105/$B105*10000,6))/10000))</f>
        <v/>
      </c>
      <c r="P105" s="18" t="str">
        <f aca="false">IF(OR(AND($A105="",$B105="",$C105="",$D105="",$E105="",$F105="",$G105="",$H105=""),NOT($S105="")),"",ROUNDUP(ROUND($M105*10000/(10000-TargetH),9),2))</f>
        <v/>
      </c>
      <c r="Q105" s="18" t="str">
        <f aca="false">IF(OR(AND($A105="",$B105="",$C105="",$D105="",$E105="",$F105="",$G105="",$H105=""),NOT($S105="")),"",MAX(0,ROUND($P105-$B105,2)))</f>
        <v/>
      </c>
      <c r="R105" s="21" t="str">
        <f aca="false">IF(AND($A105="",$B105="",$C105="",$D105="",$E105="",$F105="",$G105="",$H105=""),"",IF(NOT($S105=""),"Check inputs",IF($B105=0,"No fee entered",IF($N105&lt;0,"Losing money on entered costs",IF(ROUND($N105*100,0)*10000&lt;TargetH*ROUND($B105*100,0),"Below your target","Meets your target")))))</f>
        <v/>
      </c>
      <c r="S105" s="22" t="str">
        <f aca="false">IF(AND($A105="",$B105="",$C105="",$D105="",$E105="",$F105="",$G105="",$H105=""),"",TRIM(IF($A105="","Customer/site label is missing. ","")&amp;IF($B105="","Monthly fee is missing. ",IF(NOT(ISNUMBER($B105)),"Monthly fee must be a number. ",IF($B105&lt;0,"Monthly fee can't be negative. ",IF(ROUND($B105,2)&lt;&gt;$B105,"Monthly fee: use up to 2 decimal places. ",IF($B105&gt;99999.99,"Monthly fee: use 99,999.99 or less. ","")))))&amp;IF($C105="","Visits per month is missing. ",IF(NOT(ISNUMBER($C105)),"Visits per month must be a number. ",IF($C105&lt;0,"Visits per month can't be negative. ",IF(ROUND($C105,3)&lt;&gt;$C105,"Visits per month: use up to 3 decimal places. ",IF($C105=0,"Visits per month must be more than 0. ",IF($C105&gt;31,"Visits per month: use 31 or less. ",""))))))&amp;IF($D105="","Service minutes per visit is missing. ",IF(NOT(ISNUMBER($D105)),"Service minutes per visit must be a number. ",IF($D105&lt;0,"Service minutes per visit can't be negative. ",IF(ROUND($D105,2)&lt;&gt;$D105,"Service minutes per visit: use up to 2 decimal places. ",IF($D105=0,"Service minutes per visit must be more than 0. ",IF($D105&gt;600,"Service minutes per visit: use 600 or less. ",""))))))&amp;IF($E105="","Drive minutes per visit is missing. ",IF(NOT(ISNUMBER($E105)),"Drive minutes per visit must be a number. ",IF($E105&lt;0,"Drive minutes per visit can't be negative. ",IF(ROUND($E105,2)&lt;&gt;$E105,"Drive minutes per visit: use up to 2 decimal places. ",IF($E105&gt;600,"Drive minutes per visit: use 600 or less. ","")))))&amp;IF($F105="","Drive miles per visit is missing. ",IF(NOT(ISNUMBER($F105)),"Drive miles per visit must be a number. ",IF($F105&lt;0,"Drive miles per visit can't be negative. ",IF(ROUND($F105,2)&lt;&gt;$F105,"Drive miles per visit: use up to 2 decimal places. ",IF($F105&gt;1000,"Drive miles per visit: use 1,000 or less. ","")))))&amp;IF($G105="","Chemicals per visit is missing. ",IF(NOT(ISNUMBER($G105)),"Chemicals per visit must be a number. ",IF($G105&lt;0,"Chemicals per visit can't be negative. ",IF(ROUND($G105,2)&lt;&gt;$G105,"Chemicals per visit: use up to 2 decimal places. ",IF($G105&gt;9999.99,"Chemicals per visit: use 9,999.99 or less. ","")))))&amp;IF($H105="","Other monthly costs is missing. ",IF(NOT(ISNUMBER($H105)),"Other monthly costs must be a number. ",IF($H105&lt;0,"Other monthly costs can't be negative. ",IF(ROUND($H105,2)&lt;&gt;$H105,"Other monthly costs: use up to 2 decimal places. ",IF($H105&gt;99999.99,"Other monthly costs: use 99,999.99 or less. ","")))))&amp;IF(SettingsOK,"","Settings incomplete.")))</f>
        <v/>
      </c>
      <c r="T105" s="23" t="str">
        <f aca="false">IF(AND($A105="",$B105="",$C105="",$D105="",$E105="",$F105="",$G105="",$H105=""),"",IF(Review!$B$5="Check inputs",IF($R105="Check inputs",ROW(),""),IF($R105="Check inputs",IF(Review!$B$5="All accounts",-2000000000000000+ROW(),""),IF(AND(Review!$B$5="Needs review",$R105="Meets your target"),"",IF($R105="No fee entered",-1000000000000000+ROW(),$N105/$B105+ROW()/1000000000)))))</f>
        <v/>
      </c>
    </row>
    <row r="106" customFormat="false" ht="15" hidden="false" customHeight="false" outlineLevel="0" collapsed="false">
      <c r="A106" s="14"/>
      <c r="B106" s="15"/>
      <c r="C106" s="16"/>
      <c r="D106" s="14"/>
      <c r="E106" s="14"/>
      <c r="F106" s="14"/>
      <c r="G106" s="15"/>
      <c r="H106" s="15"/>
      <c r="I106" s="17" t="str">
        <f aca="false">IF(OR(AND($A106="",$B106="",$C106="",$D106="",$E106="",$F106="",$G106="",$H106=""),NOT($S106="")),"",ROUND($C106*($D106+$E106)/60,4))</f>
        <v/>
      </c>
      <c r="J106" s="18" t="str">
        <f aca="false">IF(OR(AND($A106="",$B106="",$C106="",$D106="",$E106="",$F106="",$G106="",$H106=""),NOT($S106="")),"",ROUND(ROUND($C106*($D106+$E106)/60*$B$5,9),2))</f>
        <v/>
      </c>
      <c r="K106" s="18" t="str">
        <f aca="false">IF(OR(AND($A106="",$B106="",$C106="",$D106="",$E106="",$F106="",$G106="",$H106=""),NOT($S106="")),"",ROUND(ROUND($C106*$F106*$B$6,9),2))</f>
        <v/>
      </c>
      <c r="L106" s="18" t="str">
        <f aca="false">IF(OR(AND($A106="",$B106="",$C106="",$D106="",$E106="",$F106="",$G106="",$H106=""),NOT($S106="")),"",ROUND(ROUND($C106*$G106,9),2))</f>
        <v/>
      </c>
      <c r="M106" s="19" t="str">
        <f aca="false">IF(OR(AND($A106="",$B106="",$C106="",$D106="",$E106="",$F106="",$G106="",$H106=""),NOT($S106="")),"",ROUND($J106+$K106+$L106+$H106,2))</f>
        <v/>
      </c>
      <c r="N106" s="19" t="str">
        <f aca="false">IF(OR(AND($A106="",$B106="",$C106="",$D106="",$E106="",$F106="",$G106="",$H106=""),NOT($S106="")),"",ROUND($B106-$M106,2))</f>
        <v/>
      </c>
      <c r="O106" s="20" t="str">
        <f aca="false">IF(OR(AND($A106="",$B106="",$C106="",$D106="",$E106="",$F106="",$G106="",$H106=""),NOT($S106="")),"",IF($B106=0,"n/a",INT(ROUND($N106/$B106*10000,6))/10000))</f>
        <v/>
      </c>
      <c r="P106" s="18" t="str">
        <f aca="false">IF(OR(AND($A106="",$B106="",$C106="",$D106="",$E106="",$F106="",$G106="",$H106=""),NOT($S106="")),"",ROUNDUP(ROUND($M106*10000/(10000-TargetH),9),2))</f>
        <v/>
      </c>
      <c r="Q106" s="18" t="str">
        <f aca="false">IF(OR(AND($A106="",$B106="",$C106="",$D106="",$E106="",$F106="",$G106="",$H106=""),NOT($S106="")),"",MAX(0,ROUND($P106-$B106,2)))</f>
        <v/>
      </c>
      <c r="R106" s="21" t="str">
        <f aca="false">IF(AND($A106="",$B106="",$C106="",$D106="",$E106="",$F106="",$G106="",$H106=""),"",IF(NOT($S106=""),"Check inputs",IF($B106=0,"No fee entered",IF($N106&lt;0,"Losing money on entered costs",IF(ROUND($N106*100,0)*10000&lt;TargetH*ROUND($B106*100,0),"Below your target","Meets your target")))))</f>
        <v/>
      </c>
      <c r="S106" s="22" t="str">
        <f aca="false">IF(AND($A106="",$B106="",$C106="",$D106="",$E106="",$F106="",$G106="",$H106=""),"",TRIM(IF($A106="","Customer/site label is missing. ","")&amp;IF($B106="","Monthly fee is missing. ",IF(NOT(ISNUMBER($B106)),"Monthly fee must be a number. ",IF($B106&lt;0,"Monthly fee can't be negative. ",IF(ROUND($B106,2)&lt;&gt;$B106,"Monthly fee: use up to 2 decimal places. ",IF($B106&gt;99999.99,"Monthly fee: use 99,999.99 or less. ","")))))&amp;IF($C106="","Visits per month is missing. ",IF(NOT(ISNUMBER($C106)),"Visits per month must be a number. ",IF($C106&lt;0,"Visits per month can't be negative. ",IF(ROUND($C106,3)&lt;&gt;$C106,"Visits per month: use up to 3 decimal places. ",IF($C106=0,"Visits per month must be more than 0. ",IF($C106&gt;31,"Visits per month: use 31 or less. ",""))))))&amp;IF($D106="","Service minutes per visit is missing. ",IF(NOT(ISNUMBER($D106)),"Service minutes per visit must be a number. ",IF($D106&lt;0,"Service minutes per visit can't be negative. ",IF(ROUND($D106,2)&lt;&gt;$D106,"Service minutes per visit: use up to 2 decimal places. ",IF($D106=0,"Service minutes per visit must be more than 0. ",IF($D106&gt;600,"Service minutes per visit: use 600 or less. ",""))))))&amp;IF($E106="","Drive minutes per visit is missing. ",IF(NOT(ISNUMBER($E106)),"Drive minutes per visit must be a number. ",IF($E106&lt;0,"Drive minutes per visit can't be negative. ",IF(ROUND($E106,2)&lt;&gt;$E106,"Drive minutes per visit: use up to 2 decimal places. ",IF($E106&gt;600,"Drive minutes per visit: use 600 or less. ","")))))&amp;IF($F106="","Drive miles per visit is missing. ",IF(NOT(ISNUMBER($F106)),"Drive miles per visit must be a number. ",IF($F106&lt;0,"Drive miles per visit can't be negative. ",IF(ROUND($F106,2)&lt;&gt;$F106,"Drive miles per visit: use up to 2 decimal places. ",IF($F106&gt;1000,"Drive miles per visit: use 1,000 or less. ","")))))&amp;IF($G106="","Chemicals per visit is missing. ",IF(NOT(ISNUMBER($G106)),"Chemicals per visit must be a number. ",IF($G106&lt;0,"Chemicals per visit can't be negative. ",IF(ROUND($G106,2)&lt;&gt;$G106,"Chemicals per visit: use up to 2 decimal places. ",IF($G106&gt;9999.99,"Chemicals per visit: use 9,999.99 or less. ","")))))&amp;IF($H106="","Other monthly costs is missing. ",IF(NOT(ISNUMBER($H106)),"Other monthly costs must be a number. ",IF($H106&lt;0,"Other monthly costs can't be negative. ",IF(ROUND($H106,2)&lt;&gt;$H106,"Other monthly costs: use up to 2 decimal places. ",IF($H106&gt;99999.99,"Other monthly costs: use 99,999.99 or less. ","")))))&amp;IF(SettingsOK,"","Settings incomplete.")))</f>
        <v/>
      </c>
      <c r="T106" s="23" t="str">
        <f aca="false">IF(AND($A106="",$B106="",$C106="",$D106="",$E106="",$F106="",$G106="",$H106=""),"",IF(Review!$B$5="Check inputs",IF($R106="Check inputs",ROW(),""),IF($R106="Check inputs",IF(Review!$B$5="All accounts",-2000000000000000+ROW(),""),IF(AND(Review!$B$5="Needs review",$R106="Meets your target"),"",IF($R106="No fee entered",-1000000000000000+ROW(),$N106/$B106+ROW()/1000000000)))))</f>
        <v/>
      </c>
    </row>
    <row r="107" customFormat="false" ht="15" hidden="false" customHeight="false" outlineLevel="0" collapsed="false">
      <c r="A107" s="14"/>
      <c r="B107" s="15"/>
      <c r="C107" s="16"/>
      <c r="D107" s="14"/>
      <c r="E107" s="14"/>
      <c r="F107" s="14"/>
      <c r="G107" s="15"/>
      <c r="H107" s="15"/>
      <c r="I107" s="17" t="str">
        <f aca="false">IF(OR(AND($A107="",$B107="",$C107="",$D107="",$E107="",$F107="",$G107="",$H107=""),NOT($S107="")),"",ROUND($C107*($D107+$E107)/60,4))</f>
        <v/>
      </c>
      <c r="J107" s="18" t="str">
        <f aca="false">IF(OR(AND($A107="",$B107="",$C107="",$D107="",$E107="",$F107="",$G107="",$H107=""),NOT($S107="")),"",ROUND(ROUND($C107*($D107+$E107)/60*$B$5,9),2))</f>
        <v/>
      </c>
      <c r="K107" s="18" t="str">
        <f aca="false">IF(OR(AND($A107="",$B107="",$C107="",$D107="",$E107="",$F107="",$G107="",$H107=""),NOT($S107="")),"",ROUND(ROUND($C107*$F107*$B$6,9),2))</f>
        <v/>
      </c>
      <c r="L107" s="18" t="str">
        <f aca="false">IF(OR(AND($A107="",$B107="",$C107="",$D107="",$E107="",$F107="",$G107="",$H107=""),NOT($S107="")),"",ROUND(ROUND($C107*$G107,9),2))</f>
        <v/>
      </c>
      <c r="M107" s="19" t="str">
        <f aca="false">IF(OR(AND($A107="",$B107="",$C107="",$D107="",$E107="",$F107="",$G107="",$H107=""),NOT($S107="")),"",ROUND($J107+$K107+$L107+$H107,2))</f>
        <v/>
      </c>
      <c r="N107" s="19" t="str">
        <f aca="false">IF(OR(AND($A107="",$B107="",$C107="",$D107="",$E107="",$F107="",$G107="",$H107=""),NOT($S107="")),"",ROUND($B107-$M107,2))</f>
        <v/>
      </c>
      <c r="O107" s="20" t="str">
        <f aca="false">IF(OR(AND($A107="",$B107="",$C107="",$D107="",$E107="",$F107="",$G107="",$H107=""),NOT($S107="")),"",IF($B107=0,"n/a",INT(ROUND($N107/$B107*10000,6))/10000))</f>
        <v/>
      </c>
      <c r="P107" s="18" t="str">
        <f aca="false">IF(OR(AND($A107="",$B107="",$C107="",$D107="",$E107="",$F107="",$G107="",$H107=""),NOT($S107="")),"",ROUNDUP(ROUND($M107*10000/(10000-TargetH),9),2))</f>
        <v/>
      </c>
      <c r="Q107" s="18" t="str">
        <f aca="false">IF(OR(AND($A107="",$B107="",$C107="",$D107="",$E107="",$F107="",$G107="",$H107=""),NOT($S107="")),"",MAX(0,ROUND($P107-$B107,2)))</f>
        <v/>
      </c>
      <c r="R107" s="21" t="str">
        <f aca="false">IF(AND($A107="",$B107="",$C107="",$D107="",$E107="",$F107="",$G107="",$H107=""),"",IF(NOT($S107=""),"Check inputs",IF($B107=0,"No fee entered",IF($N107&lt;0,"Losing money on entered costs",IF(ROUND($N107*100,0)*10000&lt;TargetH*ROUND($B107*100,0),"Below your target","Meets your target")))))</f>
        <v/>
      </c>
      <c r="S107" s="22" t="str">
        <f aca="false">IF(AND($A107="",$B107="",$C107="",$D107="",$E107="",$F107="",$G107="",$H107=""),"",TRIM(IF($A107="","Customer/site label is missing. ","")&amp;IF($B107="","Monthly fee is missing. ",IF(NOT(ISNUMBER($B107)),"Monthly fee must be a number. ",IF($B107&lt;0,"Monthly fee can't be negative. ",IF(ROUND($B107,2)&lt;&gt;$B107,"Monthly fee: use up to 2 decimal places. ",IF($B107&gt;99999.99,"Monthly fee: use 99,999.99 or less. ","")))))&amp;IF($C107="","Visits per month is missing. ",IF(NOT(ISNUMBER($C107)),"Visits per month must be a number. ",IF($C107&lt;0,"Visits per month can't be negative. ",IF(ROUND($C107,3)&lt;&gt;$C107,"Visits per month: use up to 3 decimal places. ",IF($C107=0,"Visits per month must be more than 0. ",IF($C107&gt;31,"Visits per month: use 31 or less. ",""))))))&amp;IF($D107="","Service minutes per visit is missing. ",IF(NOT(ISNUMBER($D107)),"Service minutes per visit must be a number. ",IF($D107&lt;0,"Service minutes per visit can't be negative. ",IF(ROUND($D107,2)&lt;&gt;$D107,"Service minutes per visit: use up to 2 decimal places. ",IF($D107=0,"Service minutes per visit must be more than 0. ",IF($D107&gt;600,"Service minutes per visit: use 600 or less. ",""))))))&amp;IF($E107="","Drive minutes per visit is missing. ",IF(NOT(ISNUMBER($E107)),"Drive minutes per visit must be a number. ",IF($E107&lt;0,"Drive minutes per visit can't be negative. ",IF(ROUND($E107,2)&lt;&gt;$E107,"Drive minutes per visit: use up to 2 decimal places. ",IF($E107&gt;600,"Drive minutes per visit: use 600 or less. ","")))))&amp;IF($F107="","Drive miles per visit is missing. ",IF(NOT(ISNUMBER($F107)),"Drive miles per visit must be a number. ",IF($F107&lt;0,"Drive miles per visit can't be negative. ",IF(ROUND($F107,2)&lt;&gt;$F107,"Drive miles per visit: use up to 2 decimal places. ",IF($F107&gt;1000,"Drive miles per visit: use 1,000 or less. ","")))))&amp;IF($G107="","Chemicals per visit is missing. ",IF(NOT(ISNUMBER($G107)),"Chemicals per visit must be a number. ",IF($G107&lt;0,"Chemicals per visit can't be negative. ",IF(ROUND($G107,2)&lt;&gt;$G107,"Chemicals per visit: use up to 2 decimal places. ",IF($G107&gt;9999.99,"Chemicals per visit: use 9,999.99 or less. ","")))))&amp;IF($H107="","Other monthly costs is missing. ",IF(NOT(ISNUMBER($H107)),"Other monthly costs must be a number. ",IF($H107&lt;0,"Other monthly costs can't be negative. ",IF(ROUND($H107,2)&lt;&gt;$H107,"Other monthly costs: use up to 2 decimal places. ",IF($H107&gt;99999.99,"Other monthly costs: use 99,999.99 or less. ","")))))&amp;IF(SettingsOK,"","Settings incomplete.")))</f>
        <v/>
      </c>
      <c r="T107" s="23" t="str">
        <f aca="false">IF(AND($A107="",$B107="",$C107="",$D107="",$E107="",$F107="",$G107="",$H107=""),"",IF(Review!$B$5="Check inputs",IF($R107="Check inputs",ROW(),""),IF($R107="Check inputs",IF(Review!$B$5="All accounts",-2000000000000000+ROW(),""),IF(AND(Review!$B$5="Needs review",$R107="Meets your target"),"",IF($R107="No fee entered",-1000000000000000+ROW(),$N107/$B107+ROW()/1000000000)))))</f>
        <v/>
      </c>
    </row>
    <row r="108" customFormat="false" ht="15" hidden="false" customHeight="false" outlineLevel="0" collapsed="false">
      <c r="A108" s="14"/>
      <c r="B108" s="15"/>
      <c r="C108" s="16"/>
      <c r="D108" s="14"/>
      <c r="E108" s="14"/>
      <c r="F108" s="14"/>
      <c r="G108" s="15"/>
      <c r="H108" s="15"/>
      <c r="I108" s="17" t="str">
        <f aca="false">IF(OR(AND($A108="",$B108="",$C108="",$D108="",$E108="",$F108="",$G108="",$H108=""),NOT($S108="")),"",ROUND($C108*($D108+$E108)/60,4))</f>
        <v/>
      </c>
      <c r="J108" s="18" t="str">
        <f aca="false">IF(OR(AND($A108="",$B108="",$C108="",$D108="",$E108="",$F108="",$G108="",$H108=""),NOT($S108="")),"",ROUND(ROUND($C108*($D108+$E108)/60*$B$5,9),2))</f>
        <v/>
      </c>
      <c r="K108" s="18" t="str">
        <f aca="false">IF(OR(AND($A108="",$B108="",$C108="",$D108="",$E108="",$F108="",$G108="",$H108=""),NOT($S108="")),"",ROUND(ROUND($C108*$F108*$B$6,9),2))</f>
        <v/>
      </c>
      <c r="L108" s="18" t="str">
        <f aca="false">IF(OR(AND($A108="",$B108="",$C108="",$D108="",$E108="",$F108="",$G108="",$H108=""),NOT($S108="")),"",ROUND(ROUND($C108*$G108,9),2))</f>
        <v/>
      </c>
      <c r="M108" s="19" t="str">
        <f aca="false">IF(OR(AND($A108="",$B108="",$C108="",$D108="",$E108="",$F108="",$G108="",$H108=""),NOT($S108="")),"",ROUND($J108+$K108+$L108+$H108,2))</f>
        <v/>
      </c>
      <c r="N108" s="19" t="str">
        <f aca="false">IF(OR(AND($A108="",$B108="",$C108="",$D108="",$E108="",$F108="",$G108="",$H108=""),NOT($S108="")),"",ROUND($B108-$M108,2))</f>
        <v/>
      </c>
      <c r="O108" s="20" t="str">
        <f aca="false">IF(OR(AND($A108="",$B108="",$C108="",$D108="",$E108="",$F108="",$G108="",$H108=""),NOT($S108="")),"",IF($B108=0,"n/a",INT(ROUND($N108/$B108*10000,6))/10000))</f>
        <v/>
      </c>
      <c r="P108" s="18" t="str">
        <f aca="false">IF(OR(AND($A108="",$B108="",$C108="",$D108="",$E108="",$F108="",$G108="",$H108=""),NOT($S108="")),"",ROUNDUP(ROUND($M108*10000/(10000-TargetH),9),2))</f>
        <v/>
      </c>
      <c r="Q108" s="18" t="str">
        <f aca="false">IF(OR(AND($A108="",$B108="",$C108="",$D108="",$E108="",$F108="",$G108="",$H108=""),NOT($S108="")),"",MAX(0,ROUND($P108-$B108,2)))</f>
        <v/>
      </c>
      <c r="R108" s="21" t="str">
        <f aca="false">IF(AND($A108="",$B108="",$C108="",$D108="",$E108="",$F108="",$G108="",$H108=""),"",IF(NOT($S108=""),"Check inputs",IF($B108=0,"No fee entered",IF($N108&lt;0,"Losing money on entered costs",IF(ROUND($N108*100,0)*10000&lt;TargetH*ROUND($B108*100,0),"Below your target","Meets your target")))))</f>
        <v/>
      </c>
      <c r="S108" s="22" t="str">
        <f aca="false">IF(AND($A108="",$B108="",$C108="",$D108="",$E108="",$F108="",$G108="",$H108=""),"",TRIM(IF($A108="","Customer/site label is missing. ","")&amp;IF($B108="","Monthly fee is missing. ",IF(NOT(ISNUMBER($B108)),"Monthly fee must be a number. ",IF($B108&lt;0,"Monthly fee can't be negative. ",IF(ROUND($B108,2)&lt;&gt;$B108,"Monthly fee: use up to 2 decimal places. ",IF($B108&gt;99999.99,"Monthly fee: use 99,999.99 or less. ","")))))&amp;IF($C108="","Visits per month is missing. ",IF(NOT(ISNUMBER($C108)),"Visits per month must be a number. ",IF($C108&lt;0,"Visits per month can't be negative. ",IF(ROUND($C108,3)&lt;&gt;$C108,"Visits per month: use up to 3 decimal places. ",IF($C108=0,"Visits per month must be more than 0. ",IF($C108&gt;31,"Visits per month: use 31 or less. ",""))))))&amp;IF($D108="","Service minutes per visit is missing. ",IF(NOT(ISNUMBER($D108)),"Service minutes per visit must be a number. ",IF($D108&lt;0,"Service minutes per visit can't be negative. ",IF(ROUND($D108,2)&lt;&gt;$D108,"Service minutes per visit: use up to 2 decimal places. ",IF($D108=0,"Service minutes per visit must be more than 0. ",IF($D108&gt;600,"Service minutes per visit: use 600 or less. ",""))))))&amp;IF($E108="","Drive minutes per visit is missing. ",IF(NOT(ISNUMBER($E108)),"Drive minutes per visit must be a number. ",IF($E108&lt;0,"Drive minutes per visit can't be negative. ",IF(ROUND($E108,2)&lt;&gt;$E108,"Drive minutes per visit: use up to 2 decimal places. ",IF($E108&gt;600,"Drive minutes per visit: use 600 or less. ","")))))&amp;IF($F108="","Drive miles per visit is missing. ",IF(NOT(ISNUMBER($F108)),"Drive miles per visit must be a number. ",IF($F108&lt;0,"Drive miles per visit can't be negative. ",IF(ROUND($F108,2)&lt;&gt;$F108,"Drive miles per visit: use up to 2 decimal places. ",IF($F108&gt;1000,"Drive miles per visit: use 1,000 or less. ","")))))&amp;IF($G108="","Chemicals per visit is missing. ",IF(NOT(ISNUMBER($G108)),"Chemicals per visit must be a number. ",IF($G108&lt;0,"Chemicals per visit can't be negative. ",IF(ROUND($G108,2)&lt;&gt;$G108,"Chemicals per visit: use up to 2 decimal places. ",IF($G108&gt;9999.99,"Chemicals per visit: use 9,999.99 or less. ","")))))&amp;IF($H108="","Other monthly costs is missing. ",IF(NOT(ISNUMBER($H108)),"Other monthly costs must be a number. ",IF($H108&lt;0,"Other monthly costs can't be negative. ",IF(ROUND($H108,2)&lt;&gt;$H108,"Other monthly costs: use up to 2 decimal places. ",IF($H108&gt;99999.99,"Other monthly costs: use 99,999.99 or less. ","")))))&amp;IF(SettingsOK,"","Settings incomplete.")))</f>
        <v/>
      </c>
      <c r="T108" s="23" t="str">
        <f aca="false">IF(AND($A108="",$B108="",$C108="",$D108="",$E108="",$F108="",$G108="",$H108=""),"",IF(Review!$B$5="Check inputs",IF($R108="Check inputs",ROW(),""),IF($R108="Check inputs",IF(Review!$B$5="All accounts",-2000000000000000+ROW(),""),IF(AND(Review!$B$5="Needs review",$R108="Meets your target"),"",IF($R108="No fee entered",-1000000000000000+ROW(),$N108/$B108+ROW()/1000000000)))))</f>
        <v/>
      </c>
    </row>
    <row r="109" customFormat="false" ht="15" hidden="false" customHeight="false" outlineLevel="0" collapsed="false">
      <c r="A109" s="14"/>
      <c r="B109" s="15"/>
      <c r="C109" s="16"/>
      <c r="D109" s="14"/>
      <c r="E109" s="14"/>
      <c r="F109" s="14"/>
      <c r="G109" s="15"/>
      <c r="H109" s="15"/>
      <c r="I109" s="17" t="str">
        <f aca="false">IF(OR(AND($A109="",$B109="",$C109="",$D109="",$E109="",$F109="",$G109="",$H109=""),NOT($S109="")),"",ROUND($C109*($D109+$E109)/60,4))</f>
        <v/>
      </c>
      <c r="J109" s="18" t="str">
        <f aca="false">IF(OR(AND($A109="",$B109="",$C109="",$D109="",$E109="",$F109="",$G109="",$H109=""),NOT($S109="")),"",ROUND(ROUND($C109*($D109+$E109)/60*$B$5,9),2))</f>
        <v/>
      </c>
      <c r="K109" s="18" t="str">
        <f aca="false">IF(OR(AND($A109="",$B109="",$C109="",$D109="",$E109="",$F109="",$G109="",$H109=""),NOT($S109="")),"",ROUND(ROUND($C109*$F109*$B$6,9),2))</f>
        <v/>
      </c>
      <c r="L109" s="18" t="str">
        <f aca="false">IF(OR(AND($A109="",$B109="",$C109="",$D109="",$E109="",$F109="",$G109="",$H109=""),NOT($S109="")),"",ROUND(ROUND($C109*$G109,9),2))</f>
        <v/>
      </c>
      <c r="M109" s="19" t="str">
        <f aca="false">IF(OR(AND($A109="",$B109="",$C109="",$D109="",$E109="",$F109="",$G109="",$H109=""),NOT($S109="")),"",ROUND($J109+$K109+$L109+$H109,2))</f>
        <v/>
      </c>
      <c r="N109" s="19" t="str">
        <f aca="false">IF(OR(AND($A109="",$B109="",$C109="",$D109="",$E109="",$F109="",$G109="",$H109=""),NOT($S109="")),"",ROUND($B109-$M109,2))</f>
        <v/>
      </c>
      <c r="O109" s="20" t="str">
        <f aca="false">IF(OR(AND($A109="",$B109="",$C109="",$D109="",$E109="",$F109="",$G109="",$H109=""),NOT($S109="")),"",IF($B109=0,"n/a",INT(ROUND($N109/$B109*10000,6))/10000))</f>
        <v/>
      </c>
      <c r="P109" s="18" t="str">
        <f aca="false">IF(OR(AND($A109="",$B109="",$C109="",$D109="",$E109="",$F109="",$G109="",$H109=""),NOT($S109="")),"",ROUNDUP(ROUND($M109*10000/(10000-TargetH),9),2))</f>
        <v/>
      </c>
      <c r="Q109" s="18" t="str">
        <f aca="false">IF(OR(AND($A109="",$B109="",$C109="",$D109="",$E109="",$F109="",$G109="",$H109=""),NOT($S109="")),"",MAX(0,ROUND($P109-$B109,2)))</f>
        <v/>
      </c>
      <c r="R109" s="21" t="str">
        <f aca="false">IF(AND($A109="",$B109="",$C109="",$D109="",$E109="",$F109="",$G109="",$H109=""),"",IF(NOT($S109=""),"Check inputs",IF($B109=0,"No fee entered",IF($N109&lt;0,"Losing money on entered costs",IF(ROUND($N109*100,0)*10000&lt;TargetH*ROUND($B109*100,0),"Below your target","Meets your target")))))</f>
        <v/>
      </c>
      <c r="S109" s="22" t="str">
        <f aca="false">IF(AND($A109="",$B109="",$C109="",$D109="",$E109="",$F109="",$G109="",$H109=""),"",TRIM(IF($A109="","Customer/site label is missing. ","")&amp;IF($B109="","Monthly fee is missing. ",IF(NOT(ISNUMBER($B109)),"Monthly fee must be a number. ",IF($B109&lt;0,"Monthly fee can't be negative. ",IF(ROUND($B109,2)&lt;&gt;$B109,"Monthly fee: use up to 2 decimal places. ",IF($B109&gt;99999.99,"Monthly fee: use 99,999.99 or less. ","")))))&amp;IF($C109="","Visits per month is missing. ",IF(NOT(ISNUMBER($C109)),"Visits per month must be a number. ",IF($C109&lt;0,"Visits per month can't be negative. ",IF(ROUND($C109,3)&lt;&gt;$C109,"Visits per month: use up to 3 decimal places. ",IF($C109=0,"Visits per month must be more than 0. ",IF($C109&gt;31,"Visits per month: use 31 or less. ",""))))))&amp;IF($D109="","Service minutes per visit is missing. ",IF(NOT(ISNUMBER($D109)),"Service minutes per visit must be a number. ",IF($D109&lt;0,"Service minutes per visit can't be negative. ",IF(ROUND($D109,2)&lt;&gt;$D109,"Service minutes per visit: use up to 2 decimal places. ",IF($D109=0,"Service minutes per visit must be more than 0. ",IF($D109&gt;600,"Service minutes per visit: use 600 or less. ",""))))))&amp;IF($E109="","Drive minutes per visit is missing. ",IF(NOT(ISNUMBER($E109)),"Drive minutes per visit must be a number. ",IF($E109&lt;0,"Drive minutes per visit can't be negative. ",IF(ROUND($E109,2)&lt;&gt;$E109,"Drive minutes per visit: use up to 2 decimal places. ",IF($E109&gt;600,"Drive minutes per visit: use 600 or less. ","")))))&amp;IF($F109="","Drive miles per visit is missing. ",IF(NOT(ISNUMBER($F109)),"Drive miles per visit must be a number. ",IF($F109&lt;0,"Drive miles per visit can't be negative. ",IF(ROUND($F109,2)&lt;&gt;$F109,"Drive miles per visit: use up to 2 decimal places. ",IF($F109&gt;1000,"Drive miles per visit: use 1,000 or less. ","")))))&amp;IF($G109="","Chemicals per visit is missing. ",IF(NOT(ISNUMBER($G109)),"Chemicals per visit must be a number. ",IF($G109&lt;0,"Chemicals per visit can't be negative. ",IF(ROUND($G109,2)&lt;&gt;$G109,"Chemicals per visit: use up to 2 decimal places. ",IF($G109&gt;9999.99,"Chemicals per visit: use 9,999.99 or less. ","")))))&amp;IF($H109="","Other monthly costs is missing. ",IF(NOT(ISNUMBER($H109)),"Other monthly costs must be a number. ",IF($H109&lt;0,"Other monthly costs can't be negative. ",IF(ROUND($H109,2)&lt;&gt;$H109,"Other monthly costs: use up to 2 decimal places. ",IF($H109&gt;99999.99,"Other monthly costs: use 99,999.99 or less. ","")))))&amp;IF(SettingsOK,"","Settings incomplete.")))</f>
        <v/>
      </c>
      <c r="T109" s="23" t="str">
        <f aca="false">IF(AND($A109="",$B109="",$C109="",$D109="",$E109="",$F109="",$G109="",$H109=""),"",IF(Review!$B$5="Check inputs",IF($R109="Check inputs",ROW(),""),IF($R109="Check inputs",IF(Review!$B$5="All accounts",-2000000000000000+ROW(),""),IF(AND(Review!$B$5="Needs review",$R109="Meets your target"),"",IF($R109="No fee entered",-1000000000000000+ROW(),$N109/$B109+ROW()/1000000000)))))</f>
        <v/>
      </c>
    </row>
    <row r="110" customFormat="false" ht="15" hidden="false" customHeight="false" outlineLevel="0" collapsed="false">
      <c r="A110" s="14"/>
      <c r="B110" s="15"/>
      <c r="C110" s="16"/>
      <c r="D110" s="14"/>
      <c r="E110" s="14"/>
      <c r="F110" s="14"/>
      <c r="G110" s="15"/>
      <c r="H110" s="15"/>
      <c r="I110" s="17" t="str">
        <f aca="false">IF(OR(AND($A110="",$B110="",$C110="",$D110="",$E110="",$F110="",$G110="",$H110=""),NOT($S110="")),"",ROUND($C110*($D110+$E110)/60,4))</f>
        <v/>
      </c>
      <c r="J110" s="18" t="str">
        <f aca="false">IF(OR(AND($A110="",$B110="",$C110="",$D110="",$E110="",$F110="",$G110="",$H110=""),NOT($S110="")),"",ROUND(ROUND($C110*($D110+$E110)/60*$B$5,9),2))</f>
        <v/>
      </c>
      <c r="K110" s="18" t="str">
        <f aca="false">IF(OR(AND($A110="",$B110="",$C110="",$D110="",$E110="",$F110="",$G110="",$H110=""),NOT($S110="")),"",ROUND(ROUND($C110*$F110*$B$6,9),2))</f>
        <v/>
      </c>
      <c r="L110" s="18" t="str">
        <f aca="false">IF(OR(AND($A110="",$B110="",$C110="",$D110="",$E110="",$F110="",$G110="",$H110=""),NOT($S110="")),"",ROUND(ROUND($C110*$G110,9),2))</f>
        <v/>
      </c>
      <c r="M110" s="19" t="str">
        <f aca="false">IF(OR(AND($A110="",$B110="",$C110="",$D110="",$E110="",$F110="",$G110="",$H110=""),NOT($S110="")),"",ROUND($J110+$K110+$L110+$H110,2))</f>
        <v/>
      </c>
      <c r="N110" s="19" t="str">
        <f aca="false">IF(OR(AND($A110="",$B110="",$C110="",$D110="",$E110="",$F110="",$G110="",$H110=""),NOT($S110="")),"",ROUND($B110-$M110,2))</f>
        <v/>
      </c>
      <c r="O110" s="20" t="str">
        <f aca="false">IF(OR(AND($A110="",$B110="",$C110="",$D110="",$E110="",$F110="",$G110="",$H110=""),NOT($S110="")),"",IF($B110=0,"n/a",INT(ROUND($N110/$B110*10000,6))/10000))</f>
        <v/>
      </c>
      <c r="P110" s="18" t="str">
        <f aca="false">IF(OR(AND($A110="",$B110="",$C110="",$D110="",$E110="",$F110="",$G110="",$H110=""),NOT($S110="")),"",ROUNDUP(ROUND($M110*10000/(10000-TargetH),9),2))</f>
        <v/>
      </c>
      <c r="Q110" s="18" t="str">
        <f aca="false">IF(OR(AND($A110="",$B110="",$C110="",$D110="",$E110="",$F110="",$G110="",$H110=""),NOT($S110="")),"",MAX(0,ROUND($P110-$B110,2)))</f>
        <v/>
      </c>
      <c r="R110" s="21" t="str">
        <f aca="false">IF(AND($A110="",$B110="",$C110="",$D110="",$E110="",$F110="",$G110="",$H110=""),"",IF(NOT($S110=""),"Check inputs",IF($B110=0,"No fee entered",IF($N110&lt;0,"Losing money on entered costs",IF(ROUND($N110*100,0)*10000&lt;TargetH*ROUND($B110*100,0),"Below your target","Meets your target")))))</f>
        <v/>
      </c>
      <c r="S110" s="22" t="str">
        <f aca="false">IF(AND($A110="",$B110="",$C110="",$D110="",$E110="",$F110="",$G110="",$H110=""),"",TRIM(IF($A110="","Customer/site label is missing. ","")&amp;IF($B110="","Monthly fee is missing. ",IF(NOT(ISNUMBER($B110)),"Monthly fee must be a number. ",IF($B110&lt;0,"Monthly fee can't be negative. ",IF(ROUND($B110,2)&lt;&gt;$B110,"Monthly fee: use up to 2 decimal places. ",IF($B110&gt;99999.99,"Monthly fee: use 99,999.99 or less. ","")))))&amp;IF($C110="","Visits per month is missing. ",IF(NOT(ISNUMBER($C110)),"Visits per month must be a number. ",IF($C110&lt;0,"Visits per month can't be negative. ",IF(ROUND($C110,3)&lt;&gt;$C110,"Visits per month: use up to 3 decimal places. ",IF($C110=0,"Visits per month must be more than 0. ",IF($C110&gt;31,"Visits per month: use 31 or less. ",""))))))&amp;IF($D110="","Service minutes per visit is missing. ",IF(NOT(ISNUMBER($D110)),"Service minutes per visit must be a number. ",IF($D110&lt;0,"Service minutes per visit can't be negative. ",IF(ROUND($D110,2)&lt;&gt;$D110,"Service minutes per visit: use up to 2 decimal places. ",IF($D110=0,"Service minutes per visit must be more than 0. ",IF($D110&gt;600,"Service minutes per visit: use 600 or less. ",""))))))&amp;IF($E110="","Drive minutes per visit is missing. ",IF(NOT(ISNUMBER($E110)),"Drive minutes per visit must be a number. ",IF($E110&lt;0,"Drive minutes per visit can't be negative. ",IF(ROUND($E110,2)&lt;&gt;$E110,"Drive minutes per visit: use up to 2 decimal places. ",IF($E110&gt;600,"Drive minutes per visit: use 600 or less. ","")))))&amp;IF($F110="","Drive miles per visit is missing. ",IF(NOT(ISNUMBER($F110)),"Drive miles per visit must be a number. ",IF($F110&lt;0,"Drive miles per visit can't be negative. ",IF(ROUND($F110,2)&lt;&gt;$F110,"Drive miles per visit: use up to 2 decimal places. ",IF($F110&gt;1000,"Drive miles per visit: use 1,000 or less. ","")))))&amp;IF($G110="","Chemicals per visit is missing. ",IF(NOT(ISNUMBER($G110)),"Chemicals per visit must be a number. ",IF($G110&lt;0,"Chemicals per visit can't be negative. ",IF(ROUND($G110,2)&lt;&gt;$G110,"Chemicals per visit: use up to 2 decimal places. ",IF($G110&gt;9999.99,"Chemicals per visit: use 9,999.99 or less. ","")))))&amp;IF($H110="","Other monthly costs is missing. ",IF(NOT(ISNUMBER($H110)),"Other monthly costs must be a number. ",IF($H110&lt;0,"Other monthly costs can't be negative. ",IF(ROUND($H110,2)&lt;&gt;$H110,"Other monthly costs: use up to 2 decimal places. ",IF($H110&gt;99999.99,"Other monthly costs: use 99,999.99 or less. ","")))))&amp;IF(SettingsOK,"","Settings incomplete.")))</f>
        <v/>
      </c>
      <c r="T110" s="23" t="str">
        <f aca="false">IF(AND($A110="",$B110="",$C110="",$D110="",$E110="",$F110="",$G110="",$H110=""),"",IF(Review!$B$5="Check inputs",IF($R110="Check inputs",ROW(),""),IF($R110="Check inputs",IF(Review!$B$5="All accounts",-2000000000000000+ROW(),""),IF(AND(Review!$B$5="Needs review",$R110="Meets your target"),"",IF($R110="No fee entered",-1000000000000000+ROW(),$N110/$B110+ROW()/1000000000)))))</f>
        <v/>
      </c>
    </row>
    <row r="111" customFormat="false" ht="15" hidden="false" customHeight="false" outlineLevel="0" collapsed="false">
      <c r="A111" s="14"/>
      <c r="B111" s="15"/>
      <c r="C111" s="16"/>
      <c r="D111" s="14"/>
      <c r="E111" s="14"/>
      <c r="F111" s="14"/>
      <c r="G111" s="15"/>
      <c r="H111" s="15"/>
      <c r="I111" s="17" t="str">
        <f aca="false">IF(OR(AND($A111="",$B111="",$C111="",$D111="",$E111="",$F111="",$G111="",$H111=""),NOT($S111="")),"",ROUND($C111*($D111+$E111)/60,4))</f>
        <v/>
      </c>
      <c r="J111" s="18" t="str">
        <f aca="false">IF(OR(AND($A111="",$B111="",$C111="",$D111="",$E111="",$F111="",$G111="",$H111=""),NOT($S111="")),"",ROUND(ROUND($C111*($D111+$E111)/60*$B$5,9),2))</f>
        <v/>
      </c>
      <c r="K111" s="18" t="str">
        <f aca="false">IF(OR(AND($A111="",$B111="",$C111="",$D111="",$E111="",$F111="",$G111="",$H111=""),NOT($S111="")),"",ROUND(ROUND($C111*$F111*$B$6,9),2))</f>
        <v/>
      </c>
      <c r="L111" s="18" t="str">
        <f aca="false">IF(OR(AND($A111="",$B111="",$C111="",$D111="",$E111="",$F111="",$G111="",$H111=""),NOT($S111="")),"",ROUND(ROUND($C111*$G111,9),2))</f>
        <v/>
      </c>
      <c r="M111" s="19" t="str">
        <f aca="false">IF(OR(AND($A111="",$B111="",$C111="",$D111="",$E111="",$F111="",$G111="",$H111=""),NOT($S111="")),"",ROUND($J111+$K111+$L111+$H111,2))</f>
        <v/>
      </c>
      <c r="N111" s="19" t="str">
        <f aca="false">IF(OR(AND($A111="",$B111="",$C111="",$D111="",$E111="",$F111="",$G111="",$H111=""),NOT($S111="")),"",ROUND($B111-$M111,2))</f>
        <v/>
      </c>
      <c r="O111" s="20" t="str">
        <f aca="false">IF(OR(AND($A111="",$B111="",$C111="",$D111="",$E111="",$F111="",$G111="",$H111=""),NOT($S111="")),"",IF($B111=0,"n/a",INT(ROUND($N111/$B111*10000,6))/10000))</f>
        <v/>
      </c>
      <c r="P111" s="18" t="str">
        <f aca="false">IF(OR(AND($A111="",$B111="",$C111="",$D111="",$E111="",$F111="",$G111="",$H111=""),NOT($S111="")),"",ROUNDUP(ROUND($M111*10000/(10000-TargetH),9),2))</f>
        <v/>
      </c>
      <c r="Q111" s="18" t="str">
        <f aca="false">IF(OR(AND($A111="",$B111="",$C111="",$D111="",$E111="",$F111="",$G111="",$H111=""),NOT($S111="")),"",MAX(0,ROUND($P111-$B111,2)))</f>
        <v/>
      </c>
      <c r="R111" s="21" t="str">
        <f aca="false">IF(AND($A111="",$B111="",$C111="",$D111="",$E111="",$F111="",$G111="",$H111=""),"",IF(NOT($S111=""),"Check inputs",IF($B111=0,"No fee entered",IF($N111&lt;0,"Losing money on entered costs",IF(ROUND($N111*100,0)*10000&lt;TargetH*ROUND($B111*100,0),"Below your target","Meets your target")))))</f>
        <v/>
      </c>
      <c r="S111" s="22" t="str">
        <f aca="false">IF(AND($A111="",$B111="",$C111="",$D111="",$E111="",$F111="",$G111="",$H111=""),"",TRIM(IF($A111="","Customer/site label is missing. ","")&amp;IF($B111="","Monthly fee is missing. ",IF(NOT(ISNUMBER($B111)),"Monthly fee must be a number. ",IF($B111&lt;0,"Monthly fee can't be negative. ",IF(ROUND($B111,2)&lt;&gt;$B111,"Monthly fee: use up to 2 decimal places. ",IF($B111&gt;99999.99,"Monthly fee: use 99,999.99 or less. ","")))))&amp;IF($C111="","Visits per month is missing. ",IF(NOT(ISNUMBER($C111)),"Visits per month must be a number. ",IF($C111&lt;0,"Visits per month can't be negative. ",IF(ROUND($C111,3)&lt;&gt;$C111,"Visits per month: use up to 3 decimal places. ",IF($C111=0,"Visits per month must be more than 0. ",IF($C111&gt;31,"Visits per month: use 31 or less. ",""))))))&amp;IF($D111="","Service minutes per visit is missing. ",IF(NOT(ISNUMBER($D111)),"Service minutes per visit must be a number. ",IF($D111&lt;0,"Service minutes per visit can't be negative. ",IF(ROUND($D111,2)&lt;&gt;$D111,"Service minutes per visit: use up to 2 decimal places. ",IF($D111=0,"Service minutes per visit must be more than 0. ",IF($D111&gt;600,"Service minutes per visit: use 600 or less. ",""))))))&amp;IF($E111="","Drive minutes per visit is missing. ",IF(NOT(ISNUMBER($E111)),"Drive minutes per visit must be a number. ",IF($E111&lt;0,"Drive minutes per visit can't be negative. ",IF(ROUND($E111,2)&lt;&gt;$E111,"Drive minutes per visit: use up to 2 decimal places. ",IF($E111&gt;600,"Drive minutes per visit: use 600 or less. ","")))))&amp;IF($F111="","Drive miles per visit is missing. ",IF(NOT(ISNUMBER($F111)),"Drive miles per visit must be a number. ",IF($F111&lt;0,"Drive miles per visit can't be negative. ",IF(ROUND($F111,2)&lt;&gt;$F111,"Drive miles per visit: use up to 2 decimal places. ",IF($F111&gt;1000,"Drive miles per visit: use 1,000 or less. ","")))))&amp;IF($G111="","Chemicals per visit is missing. ",IF(NOT(ISNUMBER($G111)),"Chemicals per visit must be a number. ",IF($G111&lt;0,"Chemicals per visit can't be negative. ",IF(ROUND($G111,2)&lt;&gt;$G111,"Chemicals per visit: use up to 2 decimal places. ",IF($G111&gt;9999.99,"Chemicals per visit: use 9,999.99 or less. ","")))))&amp;IF($H111="","Other monthly costs is missing. ",IF(NOT(ISNUMBER($H111)),"Other monthly costs must be a number. ",IF($H111&lt;0,"Other monthly costs can't be negative. ",IF(ROUND($H111,2)&lt;&gt;$H111,"Other monthly costs: use up to 2 decimal places. ",IF($H111&gt;99999.99,"Other monthly costs: use 99,999.99 or less. ","")))))&amp;IF(SettingsOK,"","Settings incomplete.")))</f>
        <v/>
      </c>
      <c r="T111" s="23" t="str">
        <f aca="false">IF(AND($A111="",$B111="",$C111="",$D111="",$E111="",$F111="",$G111="",$H111=""),"",IF(Review!$B$5="Check inputs",IF($R111="Check inputs",ROW(),""),IF($R111="Check inputs",IF(Review!$B$5="All accounts",-2000000000000000+ROW(),""),IF(AND(Review!$B$5="Needs review",$R111="Meets your target"),"",IF($R111="No fee entered",-1000000000000000+ROW(),$N111/$B111+ROW()/1000000000)))))</f>
        <v/>
      </c>
    </row>
    <row r="112" customFormat="false" ht="15" hidden="false" customHeight="false" outlineLevel="0" collapsed="false">
      <c r="A112" s="14"/>
      <c r="B112" s="15"/>
      <c r="C112" s="16"/>
      <c r="D112" s="14"/>
      <c r="E112" s="14"/>
      <c r="F112" s="14"/>
      <c r="G112" s="15"/>
      <c r="H112" s="15"/>
      <c r="I112" s="17" t="str">
        <f aca="false">IF(OR(AND($A112="",$B112="",$C112="",$D112="",$E112="",$F112="",$G112="",$H112=""),NOT($S112="")),"",ROUND($C112*($D112+$E112)/60,4))</f>
        <v/>
      </c>
      <c r="J112" s="18" t="str">
        <f aca="false">IF(OR(AND($A112="",$B112="",$C112="",$D112="",$E112="",$F112="",$G112="",$H112=""),NOT($S112="")),"",ROUND(ROUND($C112*($D112+$E112)/60*$B$5,9),2))</f>
        <v/>
      </c>
      <c r="K112" s="18" t="str">
        <f aca="false">IF(OR(AND($A112="",$B112="",$C112="",$D112="",$E112="",$F112="",$G112="",$H112=""),NOT($S112="")),"",ROUND(ROUND($C112*$F112*$B$6,9),2))</f>
        <v/>
      </c>
      <c r="L112" s="18" t="str">
        <f aca="false">IF(OR(AND($A112="",$B112="",$C112="",$D112="",$E112="",$F112="",$G112="",$H112=""),NOT($S112="")),"",ROUND(ROUND($C112*$G112,9),2))</f>
        <v/>
      </c>
      <c r="M112" s="19" t="str">
        <f aca="false">IF(OR(AND($A112="",$B112="",$C112="",$D112="",$E112="",$F112="",$G112="",$H112=""),NOT($S112="")),"",ROUND($J112+$K112+$L112+$H112,2))</f>
        <v/>
      </c>
      <c r="N112" s="19" t="str">
        <f aca="false">IF(OR(AND($A112="",$B112="",$C112="",$D112="",$E112="",$F112="",$G112="",$H112=""),NOT($S112="")),"",ROUND($B112-$M112,2))</f>
        <v/>
      </c>
      <c r="O112" s="20" t="str">
        <f aca="false">IF(OR(AND($A112="",$B112="",$C112="",$D112="",$E112="",$F112="",$G112="",$H112=""),NOT($S112="")),"",IF($B112=0,"n/a",INT(ROUND($N112/$B112*10000,6))/10000))</f>
        <v/>
      </c>
      <c r="P112" s="18" t="str">
        <f aca="false">IF(OR(AND($A112="",$B112="",$C112="",$D112="",$E112="",$F112="",$G112="",$H112=""),NOT($S112="")),"",ROUNDUP(ROUND($M112*10000/(10000-TargetH),9),2))</f>
        <v/>
      </c>
      <c r="Q112" s="18" t="str">
        <f aca="false">IF(OR(AND($A112="",$B112="",$C112="",$D112="",$E112="",$F112="",$G112="",$H112=""),NOT($S112="")),"",MAX(0,ROUND($P112-$B112,2)))</f>
        <v/>
      </c>
      <c r="R112" s="21" t="str">
        <f aca="false">IF(AND($A112="",$B112="",$C112="",$D112="",$E112="",$F112="",$G112="",$H112=""),"",IF(NOT($S112=""),"Check inputs",IF($B112=0,"No fee entered",IF($N112&lt;0,"Losing money on entered costs",IF(ROUND($N112*100,0)*10000&lt;TargetH*ROUND($B112*100,0),"Below your target","Meets your target")))))</f>
        <v/>
      </c>
      <c r="S112" s="22" t="str">
        <f aca="false">IF(AND($A112="",$B112="",$C112="",$D112="",$E112="",$F112="",$G112="",$H112=""),"",TRIM(IF($A112="","Customer/site label is missing. ","")&amp;IF($B112="","Monthly fee is missing. ",IF(NOT(ISNUMBER($B112)),"Monthly fee must be a number. ",IF($B112&lt;0,"Monthly fee can't be negative. ",IF(ROUND($B112,2)&lt;&gt;$B112,"Monthly fee: use up to 2 decimal places. ",IF($B112&gt;99999.99,"Monthly fee: use 99,999.99 or less. ","")))))&amp;IF($C112="","Visits per month is missing. ",IF(NOT(ISNUMBER($C112)),"Visits per month must be a number. ",IF($C112&lt;0,"Visits per month can't be negative. ",IF(ROUND($C112,3)&lt;&gt;$C112,"Visits per month: use up to 3 decimal places. ",IF($C112=0,"Visits per month must be more than 0. ",IF($C112&gt;31,"Visits per month: use 31 or less. ",""))))))&amp;IF($D112="","Service minutes per visit is missing. ",IF(NOT(ISNUMBER($D112)),"Service minutes per visit must be a number. ",IF($D112&lt;0,"Service minutes per visit can't be negative. ",IF(ROUND($D112,2)&lt;&gt;$D112,"Service minutes per visit: use up to 2 decimal places. ",IF($D112=0,"Service minutes per visit must be more than 0. ",IF($D112&gt;600,"Service minutes per visit: use 600 or less. ",""))))))&amp;IF($E112="","Drive minutes per visit is missing. ",IF(NOT(ISNUMBER($E112)),"Drive minutes per visit must be a number. ",IF($E112&lt;0,"Drive minutes per visit can't be negative. ",IF(ROUND($E112,2)&lt;&gt;$E112,"Drive minutes per visit: use up to 2 decimal places. ",IF($E112&gt;600,"Drive minutes per visit: use 600 or less. ","")))))&amp;IF($F112="","Drive miles per visit is missing. ",IF(NOT(ISNUMBER($F112)),"Drive miles per visit must be a number. ",IF($F112&lt;0,"Drive miles per visit can't be negative. ",IF(ROUND($F112,2)&lt;&gt;$F112,"Drive miles per visit: use up to 2 decimal places. ",IF($F112&gt;1000,"Drive miles per visit: use 1,000 or less. ","")))))&amp;IF($G112="","Chemicals per visit is missing. ",IF(NOT(ISNUMBER($G112)),"Chemicals per visit must be a number. ",IF($G112&lt;0,"Chemicals per visit can't be negative. ",IF(ROUND($G112,2)&lt;&gt;$G112,"Chemicals per visit: use up to 2 decimal places. ",IF($G112&gt;9999.99,"Chemicals per visit: use 9,999.99 or less. ","")))))&amp;IF($H112="","Other monthly costs is missing. ",IF(NOT(ISNUMBER($H112)),"Other monthly costs must be a number. ",IF($H112&lt;0,"Other monthly costs can't be negative. ",IF(ROUND($H112,2)&lt;&gt;$H112,"Other monthly costs: use up to 2 decimal places. ",IF($H112&gt;99999.99,"Other monthly costs: use 99,999.99 or less. ","")))))&amp;IF(SettingsOK,"","Settings incomplete.")))</f>
        <v/>
      </c>
      <c r="T112" s="23" t="str">
        <f aca="false">IF(AND($A112="",$B112="",$C112="",$D112="",$E112="",$F112="",$G112="",$H112=""),"",IF(Review!$B$5="Check inputs",IF($R112="Check inputs",ROW(),""),IF($R112="Check inputs",IF(Review!$B$5="All accounts",-2000000000000000+ROW(),""),IF(AND(Review!$B$5="Needs review",$R112="Meets your target"),"",IF($R112="No fee entered",-1000000000000000+ROW(),$N112/$B112+ROW()/1000000000)))))</f>
        <v/>
      </c>
    </row>
    <row r="113" customFormat="false" ht="15" hidden="false" customHeight="false" outlineLevel="0" collapsed="false">
      <c r="A113" s="14"/>
      <c r="B113" s="15"/>
      <c r="C113" s="16"/>
      <c r="D113" s="14"/>
      <c r="E113" s="14"/>
      <c r="F113" s="14"/>
      <c r="G113" s="15"/>
      <c r="H113" s="15"/>
      <c r="I113" s="17" t="str">
        <f aca="false">IF(OR(AND($A113="",$B113="",$C113="",$D113="",$E113="",$F113="",$G113="",$H113=""),NOT($S113="")),"",ROUND($C113*($D113+$E113)/60,4))</f>
        <v/>
      </c>
      <c r="J113" s="18" t="str">
        <f aca="false">IF(OR(AND($A113="",$B113="",$C113="",$D113="",$E113="",$F113="",$G113="",$H113=""),NOT($S113="")),"",ROUND(ROUND($C113*($D113+$E113)/60*$B$5,9),2))</f>
        <v/>
      </c>
      <c r="K113" s="18" t="str">
        <f aca="false">IF(OR(AND($A113="",$B113="",$C113="",$D113="",$E113="",$F113="",$G113="",$H113=""),NOT($S113="")),"",ROUND(ROUND($C113*$F113*$B$6,9),2))</f>
        <v/>
      </c>
      <c r="L113" s="18" t="str">
        <f aca="false">IF(OR(AND($A113="",$B113="",$C113="",$D113="",$E113="",$F113="",$G113="",$H113=""),NOT($S113="")),"",ROUND(ROUND($C113*$G113,9),2))</f>
        <v/>
      </c>
      <c r="M113" s="19" t="str">
        <f aca="false">IF(OR(AND($A113="",$B113="",$C113="",$D113="",$E113="",$F113="",$G113="",$H113=""),NOT($S113="")),"",ROUND($J113+$K113+$L113+$H113,2))</f>
        <v/>
      </c>
      <c r="N113" s="19" t="str">
        <f aca="false">IF(OR(AND($A113="",$B113="",$C113="",$D113="",$E113="",$F113="",$G113="",$H113=""),NOT($S113="")),"",ROUND($B113-$M113,2))</f>
        <v/>
      </c>
      <c r="O113" s="20" t="str">
        <f aca="false">IF(OR(AND($A113="",$B113="",$C113="",$D113="",$E113="",$F113="",$G113="",$H113=""),NOT($S113="")),"",IF($B113=0,"n/a",INT(ROUND($N113/$B113*10000,6))/10000))</f>
        <v/>
      </c>
      <c r="P113" s="18" t="str">
        <f aca="false">IF(OR(AND($A113="",$B113="",$C113="",$D113="",$E113="",$F113="",$G113="",$H113=""),NOT($S113="")),"",ROUNDUP(ROUND($M113*10000/(10000-TargetH),9),2))</f>
        <v/>
      </c>
      <c r="Q113" s="18" t="str">
        <f aca="false">IF(OR(AND($A113="",$B113="",$C113="",$D113="",$E113="",$F113="",$G113="",$H113=""),NOT($S113="")),"",MAX(0,ROUND($P113-$B113,2)))</f>
        <v/>
      </c>
      <c r="R113" s="21" t="str">
        <f aca="false">IF(AND($A113="",$B113="",$C113="",$D113="",$E113="",$F113="",$G113="",$H113=""),"",IF(NOT($S113=""),"Check inputs",IF($B113=0,"No fee entered",IF($N113&lt;0,"Losing money on entered costs",IF(ROUND($N113*100,0)*10000&lt;TargetH*ROUND($B113*100,0),"Below your target","Meets your target")))))</f>
        <v/>
      </c>
      <c r="S113" s="22" t="str">
        <f aca="false">IF(AND($A113="",$B113="",$C113="",$D113="",$E113="",$F113="",$G113="",$H113=""),"",TRIM(IF($A113="","Customer/site label is missing. ","")&amp;IF($B113="","Monthly fee is missing. ",IF(NOT(ISNUMBER($B113)),"Monthly fee must be a number. ",IF($B113&lt;0,"Monthly fee can't be negative. ",IF(ROUND($B113,2)&lt;&gt;$B113,"Monthly fee: use up to 2 decimal places. ",IF($B113&gt;99999.99,"Monthly fee: use 99,999.99 or less. ","")))))&amp;IF($C113="","Visits per month is missing. ",IF(NOT(ISNUMBER($C113)),"Visits per month must be a number. ",IF($C113&lt;0,"Visits per month can't be negative. ",IF(ROUND($C113,3)&lt;&gt;$C113,"Visits per month: use up to 3 decimal places. ",IF($C113=0,"Visits per month must be more than 0. ",IF($C113&gt;31,"Visits per month: use 31 or less. ",""))))))&amp;IF($D113="","Service minutes per visit is missing. ",IF(NOT(ISNUMBER($D113)),"Service minutes per visit must be a number. ",IF($D113&lt;0,"Service minutes per visit can't be negative. ",IF(ROUND($D113,2)&lt;&gt;$D113,"Service minutes per visit: use up to 2 decimal places. ",IF($D113=0,"Service minutes per visit must be more than 0. ",IF($D113&gt;600,"Service minutes per visit: use 600 or less. ",""))))))&amp;IF($E113="","Drive minutes per visit is missing. ",IF(NOT(ISNUMBER($E113)),"Drive minutes per visit must be a number. ",IF($E113&lt;0,"Drive minutes per visit can't be negative. ",IF(ROUND($E113,2)&lt;&gt;$E113,"Drive minutes per visit: use up to 2 decimal places. ",IF($E113&gt;600,"Drive minutes per visit: use 600 or less. ","")))))&amp;IF($F113="","Drive miles per visit is missing. ",IF(NOT(ISNUMBER($F113)),"Drive miles per visit must be a number. ",IF($F113&lt;0,"Drive miles per visit can't be negative. ",IF(ROUND($F113,2)&lt;&gt;$F113,"Drive miles per visit: use up to 2 decimal places. ",IF($F113&gt;1000,"Drive miles per visit: use 1,000 or less. ","")))))&amp;IF($G113="","Chemicals per visit is missing. ",IF(NOT(ISNUMBER($G113)),"Chemicals per visit must be a number. ",IF($G113&lt;0,"Chemicals per visit can't be negative. ",IF(ROUND($G113,2)&lt;&gt;$G113,"Chemicals per visit: use up to 2 decimal places. ",IF($G113&gt;9999.99,"Chemicals per visit: use 9,999.99 or less. ","")))))&amp;IF($H113="","Other monthly costs is missing. ",IF(NOT(ISNUMBER($H113)),"Other monthly costs must be a number. ",IF($H113&lt;0,"Other monthly costs can't be negative. ",IF(ROUND($H113,2)&lt;&gt;$H113,"Other monthly costs: use up to 2 decimal places. ",IF($H113&gt;99999.99,"Other monthly costs: use 99,999.99 or less. ","")))))&amp;IF(SettingsOK,"","Settings incomplete.")))</f>
        <v/>
      </c>
      <c r="T113" s="23" t="str">
        <f aca="false">IF(AND($A113="",$B113="",$C113="",$D113="",$E113="",$F113="",$G113="",$H113=""),"",IF(Review!$B$5="Check inputs",IF($R113="Check inputs",ROW(),""),IF($R113="Check inputs",IF(Review!$B$5="All accounts",-2000000000000000+ROW(),""),IF(AND(Review!$B$5="Needs review",$R113="Meets your target"),"",IF($R113="No fee entered",-1000000000000000+ROW(),$N113/$B113+ROW()/1000000000)))))</f>
        <v/>
      </c>
    </row>
    <row r="114" customFormat="false" ht="15" hidden="false" customHeight="false" outlineLevel="0" collapsed="false">
      <c r="A114" s="14"/>
      <c r="B114" s="15"/>
      <c r="C114" s="16"/>
      <c r="D114" s="14"/>
      <c r="E114" s="14"/>
      <c r="F114" s="14"/>
      <c r="G114" s="15"/>
      <c r="H114" s="15"/>
      <c r="I114" s="17" t="str">
        <f aca="false">IF(OR(AND($A114="",$B114="",$C114="",$D114="",$E114="",$F114="",$G114="",$H114=""),NOT($S114="")),"",ROUND($C114*($D114+$E114)/60,4))</f>
        <v/>
      </c>
      <c r="J114" s="18" t="str">
        <f aca="false">IF(OR(AND($A114="",$B114="",$C114="",$D114="",$E114="",$F114="",$G114="",$H114=""),NOT($S114="")),"",ROUND(ROUND($C114*($D114+$E114)/60*$B$5,9),2))</f>
        <v/>
      </c>
      <c r="K114" s="18" t="str">
        <f aca="false">IF(OR(AND($A114="",$B114="",$C114="",$D114="",$E114="",$F114="",$G114="",$H114=""),NOT($S114="")),"",ROUND(ROUND($C114*$F114*$B$6,9),2))</f>
        <v/>
      </c>
      <c r="L114" s="18" t="str">
        <f aca="false">IF(OR(AND($A114="",$B114="",$C114="",$D114="",$E114="",$F114="",$G114="",$H114=""),NOT($S114="")),"",ROUND(ROUND($C114*$G114,9),2))</f>
        <v/>
      </c>
      <c r="M114" s="19" t="str">
        <f aca="false">IF(OR(AND($A114="",$B114="",$C114="",$D114="",$E114="",$F114="",$G114="",$H114=""),NOT($S114="")),"",ROUND($J114+$K114+$L114+$H114,2))</f>
        <v/>
      </c>
      <c r="N114" s="19" t="str">
        <f aca="false">IF(OR(AND($A114="",$B114="",$C114="",$D114="",$E114="",$F114="",$G114="",$H114=""),NOT($S114="")),"",ROUND($B114-$M114,2))</f>
        <v/>
      </c>
      <c r="O114" s="20" t="str">
        <f aca="false">IF(OR(AND($A114="",$B114="",$C114="",$D114="",$E114="",$F114="",$G114="",$H114=""),NOT($S114="")),"",IF($B114=0,"n/a",INT(ROUND($N114/$B114*10000,6))/10000))</f>
        <v/>
      </c>
      <c r="P114" s="18" t="str">
        <f aca="false">IF(OR(AND($A114="",$B114="",$C114="",$D114="",$E114="",$F114="",$G114="",$H114=""),NOT($S114="")),"",ROUNDUP(ROUND($M114*10000/(10000-TargetH),9),2))</f>
        <v/>
      </c>
      <c r="Q114" s="18" t="str">
        <f aca="false">IF(OR(AND($A114="",$B114="",$C114="",$D114="",$E114="",$F114="",$G114="",$H114=""),NOT($S114="")),"",MAX(0,ROUND($P114-$B114,2)))</f>
        <v/>
      </c>
      <c r="R114" s="21" t="str">
        <f aca="false">IF(AND($A114="",$B114="",$C114="",$D114="",$E114="",$F114="",$G114="",$H114=""),"",IF(NOT($S114=""),"Check inputs",IF($B114=0,"No fee entered",IF($N114&lt;0,"Losing money on entered costs",IF(ROUND($N114*100,0)*10000&lt;TargetH*ROUND($B114*100,0),"Below your target","Meets your target")))))</f>
        <v/>
      </c>
      <c r="S114" s="22" t="str">
        <f aca="false">IF(AND($A114="",$B114="",$C114="",$D114="",$E114="",$F114="",$G114="",$H114=""),"",TRIM(IF($A114="","Customer/site label is missing. ","")&amp;IF($B114="","Monthly fee is missing. ",IF(NOT(ISNUMBER($B114)),"Monthly fee must be a number. ",IF($B114&lt;0,"Monthly fee can't be negative. ",IF(ROUND($B114,2)&lt;&gt;$B114,"Monthly fee: use up to 2 decimal places. ",IF($B114&gt;99999.99,"Monthly fee: use 99,999.99 or less. ","")))))&amp;IF($C114="","Visits per month is missing. ",IF(NOT(ISNUMBER($C114)),"Visits per month must be a number. ",IF($C114&lt;0,"Visits per month can't be negative. ",IF(ROUND($C114,3)&lt;&gt;$C114,"Visits per month: use up to 3 decimal places. ",IF($C114=0,"Visits per month must be more than 0. ",IF($C114&gt;31,"Visits per month: use 31 or less. ",""))))))&amp;IF($D114="","Service minutes per visit is missing. ",IF(NOT(ISNUMBER($D114)),"Service minutes per visit must be a number. ",IF($D114&lt;0,"Service minutes per visit can't be negative. ",IF(ROUND($D114,2)&lt;&gt;$D114,"Service minutes per visit: use up to 2 decimal places. ",IF($D114=0,"Service minutes per visit must be more than 0. ",IF($D114&gt;600,"Service minutes per visit: use 600 or less. ",""))))))&amp;IF($E114="","Drive minutes per visit is missing. ",IF(NOT(ISNUMBER($E114)),"Drive minutes per visit must be a number. ",IF($E114&lt;0,"Drive minutes per visit can't be negative. ",IF(ROUND($E114,2)&lt;&gt;$E114,"Drive minutes per visit: use up to 2 decimal places. ",IF($E114&gt;600,"Drive minutes per visit: use 600 or less. ","")))))&amp;IF($F114="","Drive miles per visit is missing. ",IF(NOT(ISNUMBER($F114)),"Drive miles per visit must be a number. ",IF($F114&lt;0,"Drive miles per visit can't be negative. ",IF(ROUND($F114,2)&lt;&gt;$F114,"Drive miles per visit: use up to 2 decimal places. ",IF($F114&gt;1000,"Drive miles per visit: use 1,000 or less. ","")))))&amp;IF($G114="","Chemicals per visit is missing. ",IF(NOT(ISNUMBER($G114)),"Chemicals per visit must be a number. ",IF($G114&lt;0,"Chemicals per visit can't be negative. ",IF(ROUND($G114,2)&lt;&gt;$G114,"Chemicals per visit: use up to 2 decimal places. ",IF($G114&gt;9999.99,"Chemicals per visit: use 9,999.99 or less. ","")))))&amp;IF($H114="","Other monthly costs is missing. ",IF(NOT(ISNUMBER($H114)),"Other monthly costs must be a number. ",IF($H114&lt;0,"Other monthly costs can't be negative. ",IF(ROUND($H114,2)&lt;&gt;$H114,"Other monthly costs: use up to 2 decimal places. ",IF($H114&gt;99999.99,"Other monthly costs: use 99,999.99 or less. ","")))))&amp;IF(SettingsOK,"","Settings incomplete.")))</f>
        <v/>
      </c>
      <c r="T114" s="23" t="str">
        <f aca="false">IF(AND($A114="",$B114="",$C114="",$D114="",$E114="",$F114="",$G114="",$H114=""),"",IF(Review!$B$5="Check inputs",IF($R114="Check inputs",ROW(),""),IF($R114="Check inputs",IF(Review!$B$5="All accounts",-2000000000000000+ROW(),""),IF(AND(Review!$B$5="Needs review",$R114="Meets your target"),"",IF($R114="No fee entered",-1000000000000000+ROW(),$N114/$B114+ROW()/1000000000)))))</f>
        <v/>
      </c>
    </row>
    <row r="115" customFormat="false" ht="15" hidden="false" customHeight="false" outlineLevel="0" collapsed="false">
      <c r="A115" s="14"/>
      <c r="B115" s="15"/>
      <c r="C115" s="16"/>
      <c r="D115" s="14"/>
      <c r="E115" s="14"/>
      <c r="F115" s="14"/>
      <c r="G115" s="15"/>
      <c r="H115" s="15"/>
      <c r="I115" s="17" t="str">
        <f aca="false">IF(OR(AND($A115="",$B115="",$C115="",$D115="",$E115="",$F115="",$G115="",$H115=""),NOT($S115="")),"",ROUND($C115*($D115+$E115)/60,4))</f>
        <v/>
      </c>
      <c r="J115" s="18" t="str">
        <f aca="false">IF(OR(AND($A115="",$B115="",$C115="",$D115="",$E115="",$F115="",$G115="",$H115=""),NOT($S115="")),"",ROUND(ROUND($C115*($D115+$E115)/60*$B$5,9),2))</f>
        <v/>
      </c>
      <c r="K115" s="18" t="str">
        <f aca="false">IF(OR(AND($A115="",$B115="",$C115="",$D115="",$E115="",$F115="",$G115="",$H115=""),NOT($S115="")),"",ROUND(ROUND($C115*$F115*$B$6,9),2))</f>
        <v/>
      </c>
      <c r="L115" s="18" t="str">
        <f aca="false">IF(OR(AND($A115="",$B115="",$C115="",$D115="",$E115="",$F115="",$G115="",$H115=""),NOT($S115="")),"",ROUND(ROUND($C115*$G115,9),2))</f>
        <v/>
      </c>
      <c r="M115" s="19" t="str">
        <f aca="false">IF(OR(AND($A115="",$B115="",$C115="",$D115="",$E115="",$F115="",$G115="",$H115=""),NOT($S115="")),"",ROUND($J115+$K115+$L115+$H115,2))</f>
        <v/>
      </c>
      <c r="N115" s="19" t="str">
        <f aca="false">IF(OR(AND($A115="",$B115="",$C115="",$D115="",$E115="",$F115="",$G115="",$H115=""),NOT($S115="")),"",ROUND($B115-$M115,2))</f>
        <v/>
      </c>
      <c r="O115" s="20" t="str">
        <f aca="false">IF(OR(AND($A115="",$B115="",$C115="",$D115="",$E115="",$F115="",$G115="",$H115=""),NOT($S115="")),"",IF($B115=0,"n/a",INT(ROUND($N115/$B115*10000,6))/10000))</f>
        <v/>
      </c>
      <c r="P115" s="18" t="str">
        <f aca="false">IF(OR(AND($A115="",$B115="",$C115="",$D115="",$E115="",$F115="",$G115="",$H115=""),NOT($S115="")),"",ROUNDUP(ROUND($M115*10000/(10000-TargetH),9),2))</f>
        <v/>
      </c>
      <c r="Q115" s="18" t="str">
        <f aca="false">IF(OR(AND($A115="",$B115="",$C115="",$D115="",$E115="",$F115="",$G115="",$H115=""),NOT($S115="")),"",MAX(0,ROUND($P115-$B115,2)))</f>
        <v/>
      </c>
      <c r="R115" s="21" t="str">
        <f aca="false">IF(AND($A115="",$B115="",$C115="",$D115="",$E115="",$F115="",$G115="",$H115=""),"",IF(NOT($S115=""),"Check inputs",IF($B115=0,"No fee entered",IF($N115&lt;0,"Losing money on entered costs",IF(ROUND($N115*100,0)*10000&lt;TargetH*ROUND($B115*100,0),"Below your target","Meets your target")))))</f>
        <v/>
      </c>
      <c r="S115" s="22" t="str">
        <f aca="false">IF(AND($A115="",$B115="",$C115="",$D115="",$E115="",$F115="",$G115="",$H115=""),"",TRIM(IF($A115="","Customer/site label is missing. ","")&amp;IF($B115="","Monthly fee is missing. ",IF(NOT(ISNUMBER($B115)),"Monthly fee must be a number. ",IF($B115&lt;0,"Monthly fee can't be negative. ",IF(ROUND($B115,2)&lt;&gt;$B115,"Monthly fee: use up to 2 decimal places. ",IF($B115&gt;99999.99,"Monthly fee: use 99,999.99 or less. ","")))))&amp;IF($C115="","Visits per month is missing. ",IF(NOT(ISNUMBER($C115)),"Visits per month must be a number. ",IF($C115&lt;0,"Visits per month can't be negative. ",IF(ROUND($C115,3)&lt;&gt;$C115,"Visits per month: use up to 3 decimal places. ",IF($C115=0,"Visits per month must be more than 0. ",IF($C115&gt;31,"Visits per month: use 31 or less. ",""))))))&amp;IF($D115="","Service minutes per visit is missing. ",IF(NOT(ISNUMBER($D115)),"Service minutes per visit must be a number. ",IF($D115&lt;0,"Service minutes per visit can't be negative. ",IF(ROUND($D115,2)&lt;&gt;$D115,"Service minutes per visit: use up to 2 decimal places. ",IF($D115=0,"Service minutes per visit must be more than 0. ",IF($D115&gt;600,"Service minutes per visit: use 600 or less. ",""))))))&amp;IF($E115="","Drive minutes per visit is missing. ",IF(NOT(ISNUMBER($E115)),"Drive minutes per visit must be a number. ",IF($E115&lt;0,"Drive minutes per visit can't be negative. ",IF(ROUND($E115,2)&lt;&gt;$E115,"Drive minutes per visit: use up to 2 decimal places. ",IF($E115&gt;600,"Drive minutes per visit: use 600 or less. ","")))))&amp;IF($F115="","Drive miles per visit is missing. ",IF(NOT(ISNUMBER($F115)),"Drive miles per visit must be a number. ",IF($F115&lt;0,"Drive miles per visit can't be negative. ",IF(ROUND($F115,2)&lt;&gt;$F115,"Drive miles per visit: use up to 2 decimal places. ",IF($F115&gt;1000,"Drive miles per visit: use 1,000 or less. ","")))))&amp;IF($G115="","Chemicals per visit is missing. ",IF(NOT(ISNUMBER($G115)),"Chemicals per visit must be a number. ",IF($G115&lt;0,"Chemicals per visit can't be negative. ",IF(ROUND($G115,2)&lt;&gt;$G115,"Chemicals per visit: use up to 2 decimal places. ",IF($G115&gt;9999.99,"Chemicals per visit: use 9,999.99 or less. ","")))))&amp;IF($H115="","Other monthly costs is missing. ",IF(NOT(ISNUMBER($H115)),"Other monthly costs must be a number. ",IF($H115&lt;0,"Other monthly costs can't be negative. ",IF(ROUND($H115,2)&lt;&gt;$H115,"Other monthly costs: use up to 2 decimal places. ",IF($H115&gt;99999.99,"Other monthly costs: use 99,999.99 or less. ","")))))&amp;IF(SettingsOK,"","Settings incomplete.")))</f>
        <v/>
      </c>
      <c r="T115" s="23" t="str">
        <f aca="false">IF(AND($A115="",$B115="",$C115="",$D115="",$E115="",$F115="",$G115="",$H115=""),"",IF(Review!$B$5="Check inputs",IF($R115="Check inputs",ROW(),""),IF($R115="Check inputs",IF(Review!$B$5="All accounts",-2000000000000000+ROW(),""),IF(AND(Review!$B$5="Needs review",$R115="Meets your target"),"",IF($R115="No fee entered",-1000000000000000+ROW(),$N115/$B115+ROW()/1000000000)))))</f>
        <v/>
      </c>
    </row>
    <row r="116" customFormat="false" ht="15" hidden="false" customHeight="false" outlineLevel="0" collapsed="false">
      <c r="A116" s="14"/>
      <c r="B116" s="15"/>
      <c r="C116" s="16"/>
      <c r="D116" s="14"/>
      <c r="E116" s="14"/>
      <c r="F116" s="14"/>
      <c r="G116" s="15"/>
      <c r="H116" s="15"/>
      <c r="I116" s="17" t="str">
        <f aca="false">IF(OR(AND($A116="",$B116="",$C116="",$D116="",$E116="",$F116="",$G116="",$H116=""),NOT($S116="")),"",ROUND($C116*($D116+$E116)/60,4))</f>
        <v/>
      </c>
      <c r="J116" s="18" t="str">
        <f aca="false">IF(OR(AND($A116="",$B116="",$C116="",$D116="",$E116="",$F116="",$G116="",$H116=""),NOT($S116="")),"",ROUND(ROUND($C116*($D116+$E116)/60*$B$5,9),2))</f>
        <v/>
      </c>
      <c r="K116" s="18" t="str">
        <f aca="false">IF(OR(AND($A116="",$B116="",$C116="",$D116="",$E116="",$F116="",$G116="",$H116=""),NOT($S116="")),"",ROUND(ROUND($C116*$F116*$B$6,9),2))</f>
        <v/>
      </c>
      <c r="L116" s="18" t="str">
        <f aca="false">IF(OR(AND($A116="",$B116="",$C116="",$D116="",$E116="",$F116="",$G116="",$H116=""),NOT($S116="")),"",ROUND(ROUND($C116*$G116,9),2))</f>
        <v/>
      </c>
      <c r="M116" s="19" t="str">
        <f aca="false">IF(OR(AND($A116="",$B116="",$C116="",$D116="",$E116="",$F116="",$G116="",$H116=""),NOT($S116="")),"",ROUND($J116+$K116+$L116+$H116,2))</f>
        <v/>
      </c>
      <c r="N116" s="19" t="str">
        <f aca="false">IF(OR(AND($A116="",$B116="",$C116="",$D116="",$E116="",$F116="",$G116="",$H116=""),NOT($S116="")),"",ROUND($B116-$M116,2))</f>
        <v/>
      </c>
      <c r="O116" s="20" t="str">
        <f aca="false">IF(OR(AND($A116="",$B116="",$C116="",$D116="",$E116="",$F116="",$G116="",$H116=""),NOT($S116="")),"",IF($B116=0,"n/a",INT(ROUND($N116/$B116*10000,6))/10000))</f>
        <v/>
      </c>
      <c r="P116" s="18" t="str">
        <f aca="false">IF(OR(AND($A116="",$B116="",$C116="",$D116="",$E116="",$F116="",$G116="",$H116=""),NOT($S116="")),"",ROUNDUP(ROUND($M116*10000/(10000-TargetH),9),2))</f>
        <v/>
      </c>
      <c r="Q116" s="18" t="str">
        <f aca="false">IF(OR(AND($A116="",$B116="",$C116="",$D116="",$E116="",$F116="",$G116="",$H116=""),NOT($S116="")),"",MAX(0,ROUND($P116-$B116,2)))</f>
        <v/>
      </c>
      <c r="R116" s="21" t="str">
        <f aca="false">IF(AND($A116="",$B116="",$C116="",$D116="",$E116="",$F116="",$G116="",$H116=""),"",IF(NOT($S116=""),"Check inputs",IF($B116=0,"No fee entered",IF($N116&lt;0,"Losing money on entered costs",IF(ROUND($N116*100,0)*10000&lt;TargetH*ROUND($B116*100,0),"Below your target","Meets your target")))))</f>
        <v/>
      </c>
      <c r="S116" s="22" t="str">
        <f aca="false">IF(AND($A116="",$B116="",$C116="",$D116="",$E116="",$F116="",$G116="",$H116=""),"",TRIM(IF($A116="","Customer/site label is missing. ","")&amp;IF($B116="","Monthly fee is missing. ",IF(NOT(ISNUMBER($B116)),"Monthly fee must be a number. ",IF($B116&lt;0,"Monthly fee can't be negative. ",IF(ROUND($B116,2)&lt;&gt;$B116,"Monthly fee: use up to 2 decimal places. ",IF($B116&gt;99999.99,"Monthly fee: use 99,999.99 or less. ","")))))&amp;IF($C116="","Visits per month is missing. ",IF(NOT(ISNUMBER($C116)),"Visits per month must be a number. ",IF($C116&lt;0,"Visits per month can't be negative. ",IF(ROUND($C116,3)&lt;&gt;$C116,"Visits per month: use up to 3 decimal places. ",IF($C116=0,"Visits per month must be more than 0. ",IF($C116&gt;31,"Visits per month: use 31 or less. ",""))))))&amp;IF($D116="","Service minutes per visit is missing. ",IF(NOT(ISNUMBER($D116)),"Service minutes per visit must be a number. ",IF($D116&lt;0,"Service minutes per visit can't be negative. ",IF(ROUND($D116,2)&lt;&gt;$D116,"Service minutes per visit: use up to 2 decimal places. ",IF($D116=0,"Service minutes per visit must be more than 0. ",IF($D116&gt;600,"Service minutes per visit: use 600 or less. ",""))))))&amp;IF($E116="","Drive minutes per visit is missing. ",IF(NOT(ISNUMBER($E116)),"Drive minutes per visit must be a number. ",IF($E116&lt;0,"Drive minutes per visit can't be negative. ",IF(ROUND($E116,2)&lt;&gt;$E116,"Drive minutes per visit: use up to 2 decimal places. ",IF($E116&gt;600,"Drive minutes per visit: use 600 or less. ","")))))&amp;IF($F116="","Drive miles per visit is missing. ",IF(NOT(ISNUMBER($F116)),"Drive miles per visit must be a number. ",IF($F116&lt;0,"Drive miles per visit can't be negative. ",IF(ROUND($F116,2)&lt;&gt;$F116,"Drive miles per visit: use up to 2 decimal places. ",IF($F116&gt;1000,"Drive miles per visit: use 1,000 or less. ","")))))&amp;IF($G116="","Chemicals per visit is missing. ",IF(NOT(ISNUMBER($G116)),"Chemicals per visit must be a number. ",IF($G116&lt;0,"Chemicals per visit can't be negative. ",IF(ROUND($G116,2)&lt;&gt;$G116,"Chemicals per visit: use up to 2 decimal places. ",IF($G116&gt;9999.99,"Chemicals per visit: use 9,999.99 or less. ","")))))&amp;IF($H116="","Other monthly costs is missing. ",IF(NOT(ISNUMBER($H116)),"Other monthly costs must be a number. ",IF($H116&lt;0,"Other monthly costs can't be negative. ",IF(ROUND($H116,2)&lt;&gt;$H116,"Other monthly costs: use up to 2 decimal places. ",IF($H116&gt;99999.99,"Other monthly costs: use 99,999.99 or less. ","")))))&amp;IF(SettingsOK,"","Settings incomplete.")))</f>
        <v/>
      </c>
      <c r="T116" s="23" t="str">
        <f aca="false">IF(AND($A116="",$B116="",$C116="",$D116="",$E116="",$F116="",$G116="",$H116=""),"",IF(Review!$B$5="Check inputs",IF($R116="Check inputs",ROW(),""),IF($R116="Check inputs",IF(Review!$B$5="All accounts",-2000000000000000+ROW(),""),IF(AND(Review!$B$5="Needs review",$R116="Meets your target"),"",IF($R116="No fee entered",-1000000000000000+ROW(),$N116/$B116+ROW()/1000000000)))))</f>
        <v/>
      </c>
    </row>
    <row r="117" customFormat="false" ht="15" hidden="false" customHeight="false" outlineLevel="0" collapsed="false">
      <c r="A117" s="14"/>
      <c r="B117" s="15"/>
      <c r="C117" s="16"/>
      <c r="D117" s="14"/>
      <c r="E117" s="14"/>
      <c r="F117" s="14"/>
      <c r="G117" s="15"/>
      <c r="H117" s="15"/>
      <c r="I117" s="17" t="str">
        <f aca="false">IF(OR(AND($A117="",$B117="",$C117="",$D117="",$E117="",$F117="",$G117="",$H117=""),NOT($S117="")),"",ROUND($C117*($D117+$E117)/60,4))</f>
        <v/>
      </c>
      <c r="J117" s="18" t="str">
        <f aca="false">IF(OR(AND($A117="",$B117="",$C117="",$D117="",$E117="",$F117="",$G117="",$H117=""),NOT($S117="")),"",ROUND(ROUND($C117*($D117+$E117)/60*$B$5,9),2))</f>
        <v/>
      </c>
      <c r="K117" s="18" t="str">
        <f aca="false">IF(OR(AND($A117="",$B117="",$C117="",$D117="",$E117="",$F117="",$G117="",$H117=""),NOT($S117="")),"",ROUND(ROUND($C117*$F117*$B$6,9),2))</f>
        <v/>
      </c>
      <c r="L117" s="18" t="str">
        <f aca="false">IF(OR(AND($A117="",$B117="",$C117="",$D117="",$E117="",$F117="",$G117="",$H117=""),NOT($S117="")),"",ROUND(ROUND($C117*$G117,9),2))</f>
        <v/>
      </c>
      <c r="M117" s="19" t="str">
        <f aca="false">IF(OR(AND($A117="",$B117="",$C117="",$D117="",$E117="",$F117="",$G117="",$H117=""),NOT($S117="")),"",ROUND($J117+$K117+$L117+$H117,2))</f>
        <v/>
      </c>
      <c r="N117" s="19" t="str">
        <f aca="false">IF(OR(AND($A117="",$B117="",$C117="",$D117="",$E117="",$F117="",$G117="",$H117=""),NOT($S117="")),"",ROUND($B117-$M117,2))</f>
        <v/>
      </c>
      <c r="O117" s="20" t="str">
        <f aca="false">IF(OR(AND($A117="",$B117="",$C117="",$D117="",$E117="",$F117="",$G117="",$H117=""),NOT($S117="")),"",IF($B117=0,"n/a",INT(ROUND($N117/$B117*10000,6))/10000))</f>
        <v/>
      </c>
      <c r="P117" s="18" t="str">
        <f aca="false">IF(OR(AND($A117="",$B117="",$C117="",$D117="",$E117="",$F117="",$G117="",$H117=""),NOT($S117="")),"",ROUNDUP(ROUND($M117*10000/(10000-TargetH),9),2))</f>
        <v/>
      </c>
      <c r="Q117" s="18" t="str">
        <f aca="false">IF(OR(AND($A117="",$B117="",$C117="",$D117="",$E117="",$F117="",$G117="",$H117=""),NOT($S117="")),"",MAX(0,ROUND($P117-$B117,2)))</f>
        <v/>
      </c>
      <c r="R117" s="21" t="str">
        <f aca="false">IF(AND($A117="",$B117="",$C117="",$D117="",$E117="",$F117="",$G117="",$H117=""),"",IF(NOT($S117=""),"Check inputs",IF($B117=0,"No fee entered",IF($N117&lt;0,"Losing money on entered costs",IF(ROUND($N117*100,0)*10000&lt;TargetH*ROUND($B117*100,0),"Below your target","Meets your target")))))</f>
        <v/>
      </c>
      <c r="S117" s="22" t="str">
        <f aca="false">IF(AND($A117="",$B117="",$C117="",$D117="",$E117="",$F117="",$G117="",$H117=""),"",TRIM(IF($A117="","Customer/site label is missing. ","")&amp;IF($B117="","Monthly fee is missing. ",IF(NOT(ISNUMBER($B117)),"Monthly fee must be a number. ",IF($B117&lt;0,"Monthly fee can't be negative. ",IF(ROUND($B117,2)&lt;&gt;$B117,"Monthly fee: use up to 2 decimal places. ",IF($B117&gt;99999.99,"Monthly fee: use 99,999.99 or less. ","")))))&amp;IF($C117="","Visits per month is missing. ",IF(NOT(ISNUMBER($C117)),"Visits per month must be a number. ",IF($C117&lt;0,"Visits per month can't be negative. ",IF(ROUND($C117,3)&lt;&gt;$C117,"Visits per month: use up to 3 decimal places. ",IF($C117=0,"Visits per month must be more than 0. ",IF($C117&gt;31,"Visits per month: use 31 or less. ",""))))))&amp;IF($D117="","Service minutes per visit is missing. ",IF(NOT(ISNUMBER($D117)),"Service minutes per visit must be a number. ",IF($D117&lt;0,"Service minutes per visit can't be negative. ",IF(ROUND($D117,2)&lt;&gt;$D117,"Service minutes per visit: use up to 2 decimal places. ",IF($D117=0,"Service minutes per visit must be more than 0. ",IF($D117&gt;600,"Service minutes per visit: use 600 or less. ",""))))))&amp;IF($E117="","Drive minutes per visit is missing. ",IF(NOT(ISNUMBER($E117)),"Drive minutes per visit must be a number. ",IF($E117&lt;0,"Drive minutes per visit can't be negative. ",IF(ROUND($E117,2)&lt;&gt;$E117,"Drive minutes per visit: use up to 2 decimal places. ",IF($E117&gt;600,"Drive minutes per visit: use 600 or less. ","")))))&amp;IF($F117="","Drive miles per visit is missing. ",IF(NOT(ISNUMBER($F117)),"Drive miles per visit must be a number. ",IF($F117&lt;0,"Drive miles per visit can't be negative. ",IF(ROUND($F117,2)&lt;&gt;$F117,"Drive miles per visit: use up to 2 decimal places. ",IF($F117&gt;1000,"Drive miles per visit: use 1,000 or less. ","")))))&amp;IF($G117="","Chemicals per visit is missing. ",IF(NOT(ISNUMBER($G117)),"Chemicals per visit must be a number. ",IF($G117&lt;0,"Chemicals per visit can't be negative. ",IF(ROUND($G117,2)&lt;&gt;$G117,"Chemicals per visit: use up to 2 decimal places. ",IF($G117&gt;9999.99,"Chemicals per visit: use 9,999.99 or less. ","")))))&amp;IF($H117="","Other monthly costs is missing. ",IF(NOT(ISNUMBER($H117)),"Other monthly costs must be a number. ",IF($H117&lt;0,"Other monthly costs can't be negative. ",IF(ROUND($H117,2)&lt;&gt;$H117,"Other monthly costs: use up to 2 decimal places. ",IF($H117&gt;99999.99,"Other monthly costs: use 99,999.99 or less. ","")))))&amp;IF(SettingsOK,"","Settings incomplete.")))</f>
        <v/>
      </c>
      <c r="T117" s="23" t="str">
        <f aca="false">IF(AND($A117="",$B117="",$C117="",$D117="",$E117="",$F117="",$G117="",$H117=""),"",IF(Review!$B$5="Check inputs",IF($R117="Check inputs",ROW(),""),IF($R117="Check inputs",IF(Review!$B$5="All accounts",-2000000000000000+ROW(),""),IF(AND(Review!$B$5="Needs review",$R117="Meets your target"),"",IF($R117="No fee entered",-1000000000000000+ROW(),$N117/$B117+ROW()/1000000000)))))</f>
        <v/>
      </c>
    </row>
    <row r="118" customFormat="false" ht="15" hidden="false" customHeight="false" outlineLevel="0" collapsed="false">
      <c r="A118" s="14"/>
      <c r="B118" s="15"/>
      <c r="C118" s="16"/>
      <c r="D118" s="14"/>
      <c r="E118" s="14"/>
      <c r="F118" s="14"/>
      <c r="G118" s="15"/>
      <c r="H118" s="15"/>
      <c r="I118" s="17" t="str">
        <f aca="false">IF(OR(AND($A118="",$B118="",$C118="",$D118="",$E118="",$F118="",$G118="",$H118=""),NOT($S118="")),"",ROUND($C118*($D118+$E118)/60,4))</f>
        <v/>
      </c>
      <c r="J118" s="18" t="str">
        <f aca="false">IF(OR(AND($A118="",$B118="",$C118="",$D118="",$E118="",$F118="",$G118="",$H118=""),NOT($S118="")),"",ROUND(ROUND($C118*($D118+$E118)/60*$B$5,9),2))</f>
        <v/>
      </c>
      <c r="K118" s="18" t="str">
        <f aca="false">IF(OR(AND($A118="",$B118="",$C118="",$D118="",$E118="",$F118="",$G118="",$H118=""),NOT($S118="")),"",ROUND(ROUND($C118*$F118*$B$6,9),2))</f>
        <v/>
      </c>
      <c r="L118" s="18" t="str">
        <f aca="false">IF(OR(AND($A118="",$B118="",$C118="",$D118="",$E118="",$F118="",$G118="",$H118=""),NOT($S118="")),"",ROUND(ROUND($C118*$G118,9),2))</f>
        <v/>
      </c>
      <c r="M118" s="19" t="str">
        <f aca="false">IF(OR(AND($A118="",$B118="",$C118="",$D118="",$E118="",$F118="",$G118="",$H118=""),NOT($S118="")),"",ROUND($J118+$K118+$L118+$H118,2))</f>
        <v/>
      </c>
      <c r="N118" s="19" t="str">
        <f aca="false">IF(OR(AND($A118="",$B118="",$C118="",$D118="",$E118="",$F118="",$G118="",$H118=""),NOT($S118="")),"",ROUND($B118-$M118,2))</f>
        <v/>
      </c>
      <c r="O118" s="20" t="str">
        <f aca="false">IF(OR(AND($A118="",$B118="",$C118="",$D118="",$E118="",$F118="",$G118="",$H118=""),NOT($S118="")),"",IF($B118=0,"n/a",INT(ROUND($N118/$B118*10000,6))/10000))</f>
        <v/>
      </c>
      <c r="P118" s="18" t="str">
        <f aca="false">IF(OR(AND($A118="",$B118="",$C118="",$D118="",$E118="",$F118="",$G118="",$H118=""),NOT($S118="")),"",ROUNDUP(ROUND($M118*10000/(10000-TargetH),9),2))</f>
        <v/>
      </c>
      <c r="Q118" s="18" t="str">
        <f aca="false">IF(OR(AND($A118="",$B118="",$C118="",$D118="",$E118="",$F118="",$G118="",$H118=""),NOT($S118="")),"",MAX(0,ROUND($P118-$B118,2)))</f>
        <v/>
      </c>
      <c r="R118" s="21" t="str">
        <f aca="false">IF(AND($A118="",$B118="",$C118="",$D118="",$E118="",$F118="",$G118="",$H118=""),"",IF(NOT($S118=""),"Check inputs",IF($B118=0,"No fee entered",IF($N118&lt;0,"Losing money on entered costs",IF(ROUND($N118*100,0)*10000&lt;TargetH*ROUND($B118*100,0),"Below your target","Meets your target")))))</f>
        <v/>
      </c>
      <c r="S118" s="22" t="str">
        <f aca="false">IF(AND($A118="",$B118="",$C118="",$D118="",$E118="",$F118="",$G118="",$H118=""),"",TRIM(IF($A118="","Customer/site label is missing. ","")&amp;IF($B118="","Monthly fee is missing. ",IF(NOT(ISNUMBER($B118)),"Monthly fee must be a number. ",IF($B118&lt;0,"Monthly fee can't be negative. ",IF(ROUND($B118,2)&lt;&gt;$B118,"Monthly fee: use up to 2 decimal places. ",IF($B118&gt;99999.99,"Monthly fee: use 99,999.99 or less. ","")))))&amp;IF($C118="","Visits per month is missing. ",IF(NOT(ISNUMBER($C118)),"Visits per month must be a number. ",IF($C118&lt;0,"Visits per month can't be negative. ",IF(ROUND($C118,3)&lt;&gt;$C118,"Visits per month: use up to 3 decimal places. ",IF($C118=0,"Visits per month must be more than 0. ",IF($C118&gt;31,"Visits per month: use 31 or less. ",""))))))&amp;IF($D118="","Service minutes per visit is missing. ",IF(NOT(ISNUMBER($D118)),"Service minutes per visit must be a number. ",IF($D118&lt;0,"Service minutes per visit can't be negative. ",IF(ROUND($D118,2)&lt;&gt;$D118,"Service minutes per visit: use up to 2 decimal places. ",IF($D118=0,"Service minutes per visit must be more than 0. ",IF($D118&gt;600,"Service minutes per visit: use 600 or less. ",""))))))&amp;IF($E118="","Drive minutes per visit is missing. ",IF(NOT(ISNUMBER($E118)),"Drive minutes per visit must be a number. ",IF($E118&lt;0,"Drive minutes per visit can't be negative. ",IF(ROUND($E118,2)&lt;&gt;$E118,"Drive minutes per visit: use up to 2 decimal places. ",IF($E118&gt;600,"Drive minutes per visit: use 600 or less. ","")))))&amp;IF($F118="","Drive miles per visit is missing. ",IF(NOT(ISNUMBER($F118)),"Drive miles per visit must be a number. ",IF($F118&lt;0,"Drive miles per visit can't be negative. ",IF(ROUND($F118,2)&lt;&gt;$F118,"Drive miles per visit: use up to 2 decimal places. ",IF($F118&gt;1000,"Drive miles per visit: use 1,000 or less. ","")))))&amp;IF($G118="","Chemicals per visit is missing. ",IF(NOT(ISNUMBER($G118)),"Chemicals per visit must be a number. ",IF($G118&lt;0,"Chemicals per visit can't be negative. ",IF(ROUND($G118,2)&lt;&gt;$G118,"Chemicals per visit: use up to 2 decimal places. ",IF($G118&gt;9999.99,"Chemicals per visit: use 9,999.99 or less. ","")))))&amp;IF($H118="","Other monthly costs is missing. ",IF(NOT(ISNUMBER($H118)),"Other monthly costs must be a number. ",IF($H118&lt;0,"Other monthly costs can't be negative. ",IF(ROUND($H118,2)&lt;&gt;$H118,"Other monthly costs: use up to 2 decimal places. ",IF($H118&gt;99999.99,"Other monthly costs: use 99,999.99 or less. ","")))))&amp;IF(SettingsOK,"","Settings incomplete.")))</f>
        <v/>
      </c>
      <c r="T118" s="23" t="str">
        <f aca="false">IF(AND($A118="",$B118="",$C118="",$D118="",$E118="",$F118="",$G118="",$H118=""),"",IF(Review!$B$5="Check inputs",IF($R118="Check inputs",ROW(),""),IF($R118="Check inputs",IF(Review!$B$5="All accounts",-2000000000000000+ROW(),""),IF(AND(Review!$B$5="Needs review",$R118="Meets your target"),"",IF($R118="No fee entered",-1000000000000000+ROW(),$N118/$B118+ROW()/1000000000)))))</f>
        <v/>
      </c>
    </row>
    <row r="119" customFormat="false" ht="15" hidden="false" customHeight="false" outlineLevel="0" collapsed="false">
      <c r="A119" s="14"/>
      <c r="B119" s="15"/>
      <c r="C119" s="16"/>
      <c r="D119" s="14"/>
      <c r="E119" s="14"/>
      <c r="F119" s="14"/>
      <c r="G119" s="15"/>
      <c r="H119" s="15"/>
      <c r="I119" s="17" t="str">
        <f aca="false">IF(OR(AND($A119="",$B119="",$C119="",$D119="",$E119="",$F119="",$G119="",$H119=""),NOT($S119="")),"",ROUND($C119*($D119+$E119)/60,4))</f>
        <v/>
      </c>
      <c r="J119" s="18" t="str">
        <f aca="false">IF(OR(AND($A119="",$B119="",$C119="",$D119="",$E119="",$F119="",$G119="",$H119=""),NOT($S119="")),"",ROUND(ROUND($C119*($D119+$E119)/60*$B$5,9),2))</f>
        <v/>
      </c>
      <c r="K119" s="18" t="str">
        <f aca="false">IF(OR(AND($A119="",$B119="",$C119="",$D119="",$E119="",$F119="",$G119="",$H119=""),NOT($S119="")),"",ROUND(ROUND($C119*$F119*$B$6,9),2))</f>
        <v/>
      </c>
      <c r="L119" s="18" t="str">
        <f aca="false">IF(OR(AND($A119="",$B119="",$C119="",$D119="",$E119="",$F119="",$G119="",$H119=""),NOT($S119="")),"",ROUND(ROUND($C119*$G119,9),2))</f>
        <v/>
      </c>
      <c r="M119" s="19" t="str">
        <f aca="false">IF(OR(AND($A119="",$B119="",$C119="",$D119="",$E119="",$F119="",$G119="",$H119=""),NOT($S119="")),"",ROUND($J119+$K119+$L119+$H119,2))</f>
        <v/>
      </c>
      <c r="N119" s="19" t="str">
        <f aca="false">IF(OR(AND($A119="",$B119="",$C119="",$D119="",$E119="",$F119="",$G119="",$H119=""),NOT($S119="")),"",ROUND($B119-$M119,2))</f>
        <v/>
      </c>
      <c r="O119" s="20" t="str">
        <f aca="false">IF(OR(AND($A119="",$B119="",$C119="",$D119="",$E119="",$F119="",$G119="",$H119=""),NOT($S119="")),"",IF($B119=0,"n/a",INT(ROUND($N119/$B119*10000,6))/10000))</f>
        <v/>
      </c>
      <c r="P119" s="18" t="str">
        <f aca="false">IF(OR(AND($A119="",$B119="",$C119="",$D119="",$E119="",$F119="",$G119="",$H119=""),NOT($S119="")),"",ROUNDUP(ROUND($M119*10000/(10000-TargetH),9),2))</f>
        <v/>
      </c>
      <c r="Q119" s="18" t="str">
        <f aca="false">IF(OR(AND($A119="",$B119="",$C119="",$D119="",$E119="",$F119="",$G119="",$H119=""),NOT($S119="")),"",MAX(0,ROUND($P119-$B119,2)))</f>
        <v/>
      </c>
      <c r="R119" s="21" t="str">
        <f aca="false">IF(AND($A119="",$B119="",$C119="",$D119="",$E119="",$F119="",$G119="",$H119=""),"",IF(NOT($S119=""),"Check inputs",IF($B119=0,"No fee entered",IF($N119&lt;0,"Losing money on entered costs",IF(ROUND($N119*100,0)*10000&lt;TargetH*ROUND($B119*100,0),"Below your target","Meets your target")))))</f>
        <v/>
      </c>
      <c r="S119" s="22" t="str">
        <f aca="false">IF(AND($A119="",$B119="",$C119="",$D119="",$E119="",$F119="",$G119="",$H119=""),"",TRIM(IF($A119="","Customer/site label is missing. ","")&amp;IF($B119="","Monthly fee is missing. ",IF(NOT(ISNUMBER($B119)),"Monthly fee must be a number. ",IF($B119&lt;0,"Monthly fee can't be negative. ",IF(ROUND($B119,2)&lt;&gt;$B119,"Monthly fee: use up to 2 decimal places. ",IF($B119&gt;99999.99,"Monthly fee: use 99,999.99 or less. ","")))))&amp;IF($C119="","Visits per month is missing. ",IF(NOT(ISNUMBER($C119)),"Visits per month must be a number. ",IF($C119&lt;0,"Visits per month can't be negative. ",IF(ROUND($C119,3)&lt;&gt;$C119,"Visits per month: use up to 3 decimal places. ",IF($C119=0,"Visits per month must be more than 0. ",IF($C119&gt;31,"Visits per month: use 31 or less. ",""))))))&amp;IF($D119="","Service minutes per visit is missing. ",IF(NOT(ISNUMBER($D119)),"Service minutes per visit must be a number. ",IF($D119&lt;0,"Service minutes per visit can't be negative. ",IF(ROUND($D119,2)&lt;&gt;$D119,"Service minutes per visit: use up to 2 decimal places. ",IF($D119=0,"Service minutes per visit must be more than 0. ",IF($D119&gt;600,"Service minutes per visit: use 600 or less. ",""))))))&amp;IF($E119="","Drive minutes per visit is missing. ",IF(NOT(ISNUMBER($E119)),"Drive minutes per visit must be a number. ",IF($E119&lt;0,"Drive minutes per visit can't be negative. ",IF(ROUND($E119,2)&lt;&gt;$E119,"Drive minutes per visit: use up to 2 decimal places. ",IF($E119&gt;600,"Drive minutes per visit: use 600 or less. ","")))))&amp;IF($F119="","Drive miles per visit is missing. ",IF(NOT(ISNUMBER($F119)),"Drive miles per visit must be a number. ",IF($F119&lt;0,"Drive miles per visit can't be negative. ",IF(ROUND($F119,2)&lt;&gt;$F119,"Drive miles per visit: use up to 2 decimal places. ",IF($F119&gt;1000,"Drive miles per visit: use 1,000 or less. ","")))))&amp;IF($G119="","Chemicals per visit is missing. ",IF(NOT(ISNUMBER($G119)),"Chemicals per visit must be a number. ",IF($G119&lt;0,"Chemicals per visit can't be negative. ",IF(ROUND($G119,2)&lt;&gt;$G119,"Chemicals per visit: use up to 2 decimal places. ",IF($G119&gt;9999.99,"Chemicals per visit: use 9,999.99 or less. ","")))))&amp;IF($H119="","Other monthly costs is missing. ",IF(NOT(ISNUMBER($H119)),"Other monthly costs must be a number. ",IF($H119&lt;0,"Other monthly costs can't be negative. ",IF(ROUND($H119,2)&lt;&gt;$H119,"Other monthly costs: use up to 2 decimal places. ",IF($H119&gt;99999.99,"Other monthly costs: use 99,999.99 or less. ","")))))&amp;IF(SettingsOK,"","Settings incomplete.")))</f>
        <v/>
      </c>
      <c r="T119" s="23" t="str">
        <f aca="false">IF(AND($A119="",$B119="",$C119="",$D119="",$E119="",$F119="",$G119="",$H119=""),"",IF(Review!$B$5="Check inputs",IF($R119="Check inputs",ROW(),""),IF($R119="Check inputs",IF(Review!$B$5="All accounts",-2000000000000000+ROW(),""),IF(AND(Review!$B$5="Needs review",$R119="Meets your target"),"",IF($R119="No fee entered",-1000000000000000+ROW(),$N119/$B119+ROW()/1000000000)))))</f>
        <v/>
      </c>
    </row>
    <row r="120" customFormat="false" ht="15" hidden="false" customHeight="false" outlineLevel="0" collapsed="false">
      <c r="A120" s="14"/>
      <c r="B120" s="15"/>
      <c r="C120" s="16"/>
      <c r="D120" s="14"/>
      <c r="E120" s="14"/>
      <c r="F120" s="14"/>
      <c r="G120" s="15"/>
      <c r="H120" s="15"/>
      <c r="I120" s="17" t="str">
        <f aca="false">IF(OR(AND($A120="",$B120="",$C120="",$D120="",$E120="",$F120="",$G120="",$H120=""),NOT($S120="")),"",ROUND($C120*($D120+$E120)/60,4))</f>
        <v/>
      </c>
      <c r="J120" s="18" t="str">
        <f aca="false">IF(OR(AND($A120="",$B120="",$C120="",$D120="",$E120="",$F120="",$G120="",$H120=""),NOT($S120="")),"",ROUND(ROUND($C120*($D120+$E120)/60*$B$5,9),2))</f>
        <v/>
      </c>
      <c r="K120" s="18" t="str">
        <f aca="false">IF(OR(AND($A120="",$B120="",$C120="",$D120="",$E120="",$F120="",$G120="",$H120=""),NOT($S120="")),"",ROUND(ROUND($C120*$F120*$B$6,9),2))</f>
        <v/>
      </c>
      <c r="L120" s="18" t="str">
        <f aca="false">IF(OR(AND($A120="",$B120="",$C120="",$D120="",$E120="",$F120="",$G120="",$H120=""),NOT($S120="")),"",ROUND(ROUND($C120*$G120,9),2))</f>
        <v/>
      </c>
      <c r="M120" s="19" t="str">
        <f aca="false">IF(OR(AND($A120="",$B120="",$C120="",$D120="",$E120="",$F120="",$G120="",$H120=""),NOT($S120="")),"",ROUND($J120+$K120+$L120+$H120,2))</f>
        <v/>
      </c>
      <c r="N120" s="19" t="str">
        <f aca="false">IF(OR(AND($A120="",$B120="",$C120="",$D120="",$E120="",$F120="",$G120="",$H120=""),NOT($S120="")),"",ROUND($B120-$M120,2))</f>
        <v/>
      </c>
      <c r="O120" s="20" t="str">
        <f aca="false">IF(OR(AND($A120="",$B120="",$C120="",$D120="",$E120="",$F120="",$G120="",$H120=""),NOT($S120="")),"",IF($B120=0,"n/a",INT(ROUND($N120/$B120*10000,6))/10000))</f>
        <v/>
      </c>
      <c r="P120" s="18" t="str">
        <f aca="false">IF(OR(AND($A120="",$B120="",$C120="",$D120="",$E120="",$F120="",$G120="",$H120=""),NOT($S120="")),"",ROUNDUP(ROUND($M120*10000/(10000-TargetH),9),2))</f>
        <v/>
      </c>
      <c r="Q120" s="18" t="str">
        <f aca="false">IF(OR(AND($A120="",$B120="",$C120="",$D120="",$E120="",$F120="",$G120="",$H120=""),NOT($S120="")),"",MAX(0,ROUND($P120-$B120,2)))</f>
        <v/>
      </c>
      <c r="R120" s="21" t="str">
        <f aca="false">IF(AND($A120="",$B120="",$C120="",$D120="",$E120="",$F120="",$G120="",$H120=""),"",IF(NOT($S120=""),"Check inputs",IF($B120=0,"No fee entered",IF($N120&lt;0,"Losing money on entered costs",IF(ROUND($N120*100,0)*10000&lt;TargetH*ROUND($B120*100,0),"Below your target","Meets your target")))))</f>
        <v/>
      </c>
      <c r="S120" s="22" t="str">
        <f aca="false">IF(AND($A120="",$B120="",$C120="",$D120="",$E120="",$F120="",$G120="",$H120=""),"",TRIM(IF($A120="","Customer/site label is missing. ","")&amp;IF($B120="","Monthly fee is missing. ",IF(NOT(ISNUMBER($B120)),"Monthly fee must be a number. ",IF($B120&lt;0,"Monthly fee can't be negative. ",IF(ROUND($B120,2)&lt;&gt;$B120,"Monthly fee: use up to 2 decimal places. ",IF($B120&gt;99999.99,"Monthly fee: use 99,999.99 or less. ","")))))&amp;IF($C120="","Visits per month is missing. ",IF(NOT(ISNUMBER($C120)),"Visits per month must be a number. ",IF($C120&lt;0,"Visits per month can't be negative. ",IF(ROUND($C120,3)&lt;&gt;$C120,"Visits per month: use up to 3 decimal places. ",IF($C120=0,"Visits per month must be more than 0. ",IF($C120&gt;31,"Visits per month: use 31 or less. ",""))))))&amp;IF($D120="","Service minutes per visit is missing. ",IF(NOT(ISNUMBER($D120)),"Service minutes per visit must be a number. ",IF($D120&lt;0,"Service minutes per visit can't be negative. ",IF(ROUND($D120,2)&lt;&gt;$D120,"Service minutes per visit: use up to 2 decimal places. ",IF($D120=0,"Service minutes per visit must be more than 0. ",IF($D120&gt;600,"Service minutes per visit: use 600 or less. ",""))))))&amp;IF($E120="","Drive minutes per visit is missing. ",IF(NOT(ISNUMBER($E120)),"Drive minutes per visit must be a number. ",IF($E120&lt;0,"Drive minutes per visit can't be negative. ",IF(ROUND($E120,2)&lt;&gt;$E120,"Drive minutes per visit: use up to 2 decimal places. ",IF($E120&gt;600,"Drive minutes per visit: use 600 or less. ","")))))&amp;IF($F120="","Drive miles per visit is missing. ",IF(NOT(ISNUMBER($F120)),"Drive miles per visit must be a number. ",IF($F120&lt;0,"Drive miles per visit can't be negative. ",IF(ROUND($F120,2)&lt;&gt;$F120,"Drive miles per visit: use up to 2 decimal places. ",IF($F120&gt;1000,"Drive miles per visit: use 1,000 or less. ","")))))&amp;IF($G120="","Chemicals per visit is missing. ",IF(NOT(ISNUMBER($G120)),"Chemicals per visit must be a number. ",IF($G120&lt;0,"Chemicals per visit can't be negative. ",IF(ROUND($G120,2)&lt;&gt;$G120,"Chemicals per visit: use up to 2 decimal places. ",IF($G120&gt;9999.99,"Chemicals per visit: use 9,999.99 or less. ","")))))&amp;IF($H120="","Other monthly costs is missing. ",IF(NOT(ISNUMBER($H120)),"Other monthly costs must be a number. ",IF($H120&lt;0,"Other monthly costs can't be negative. ",IF(ROUND($H120,2)&lt;&gt;$H120,"Other monthly costs: use up to 2 decimal places. ",IF($H120&gt;99999.99,"Other monthly costs: use 99,999.99 or less. ","")))))&amp;IF(SettingsOK,"","Settings incomplete.")))</f>
        <v/>
      </c>
      <c r="T120" s="23" t="str">
        <f aca="false">IF(AND($A120="",$B120="",$C120="",$D120="",$E120="",$F120="",$G120="",$H120=""),"",IF(Review!$B$5="Check inputs",IF($R120="Check inputs",ROW(),""),IF($R120="Check inputs",IF(Review!$B$5="All accounts",-2000000000000000+ROW(),""),IF(AND(Review!$B$5="Needs review",$R120="Meets your target"),"",IF($R120="No fee entered",-1000000000000000+ROW(),$N120/$B120+ROW()/1000000000)))))</f>
        <v/>
      </c>
    </row>
    <row r="121" customFormat="false" ht="15" hidden="false" customHeight="false" outlineLevel="0" collapsed="false">
      <c r="A121" s="14"/>
      <c r="B121" s="15"/>
      <c r="C121" s="16"/>
      <c r="D121" s="14"/>
      <c r="E121" s="14"/>
      <c r="F121" s="14"/>
      <c r="G121" s="15"/>
      <c r="H121" s="15"/>
      <c r="I121" s="17" t="str">
        <f aca="false">IF(OR(AND($A121="",$B121="",$C121="",$D121="",$E121="",$F121="",$G121="",$H121=""),NOT($S121="")),"",ROUND($C121*($D121+$E121)/60,4))</f>
        <v/>
      </c>
      <c r="J121" s="18" t="str">
        <f aca="false">IF(OR(AND($A121="",$B121="",$C121="",$D121="",$E121="",$F121="",$G121="",$H121=""),NOT($S121="")),"",ROUND(ROUND($C121*($D121+$E121)/60*$B$5,9),2))</f>
        <v/>
      </c>
      <c r="K121" s="18" t="str">
        <f aca="false">IF(OR(AND($A121="",$B121="",$C121="",$D121="",$E121="",$F121="",$G121="",$H121=""),NOT($S121="")),"",ROUND(ROUND($C121*$F121*$B$6,9),2))</f>
        <v/>
      </c>
      <c r="L121" s="18" t="str">
        <f aca="false">IF(OR(AND($A121="",$B121="",$C121="",$D121="",$E121="",$F121="",$G121="",$H121=""),NOT($S121="")),"",ROUND(ROUND($C121*$G121,9),2))</f>
        <v/>
      </c>
      <c r="M121" s="19" t="str">
        <f aca="false">IF(OR(AND($A121="",$B121="",$C121="",$D121="",$E121="",$F121="",$G121="",$H121=""),NOT($S121="")),"",ROUND($J121+$K121+$L121+$H121,2))</f>
        <v/>
      </c>
      <c r="N121" s="19" t="str">
        <f aca="false">IF(OR(AND($A121="",$B121="",$C121="",$D121="",$E121="",$F121="",$G121="",$H121=""),NOT($S121="")),"",ROUND($B121-$M121,2))</f>
        <v/>
      </c>
      <c r="O121" s="20" t="str">
        <f aca="false">IF(OR(AND($A121="",$B121="",$C121="",$D121="",$E121="",$F121="",$G121="",$H121=""),NOT($S121="")),"",IF($B121=0,"n/a",INT(ROUND($N121/$B121*10000,6))/10000))</f>
        <v/>
      </c>
      <c r="P121" s="18" t="str">
        <f aca="false">IF(OR(AND($A121="",$B121="",$C121="",$D121="",$E121="",$F121="",$G121="",$H121=""),NOT($S121="")),"",ROUNDUP(ROUND($M121*10000/(10000-TargetH),9),2))</f>
        <v/>
      </c>
      <c r="Q121" s="18" t="str">
        <f aca="false">IF(OR(AND($A121="",$B121="",$C121="",$D121="",$E121="",$F121="",$G121="",$H121=""),NOT($S121="")),"",MAX(0,ROUND($P121-$B121,2)))</f>
        <v/>
      </c>
      <c r="R121" s="21" t="str">
        <f aca="false">IF(AND($A121="",$B121="",$C121="",$D121="",$E121="",$F121="",$G121="",$H121=""),"",IF(NOT($S121=""),"Check inputs",IF($B121=0,"No fee entered",IF($N121&lt;0,"Losing money on entered costs",IF(ROUND($N121*100,0)*10000&lt;TargetH*ROUND($B121*100,0),"Below your target","Meets your target")))))</f>
        <v/>
      </c>
      <c r="S121" s="22" t="str">
        <f aca="false">IF(AND($A121="",$B121="",$C121="",$D121="",$E121="",$F121="",$G121="",$H121=""),"",TRIM(IF($A121="","Customer/site label is missing. ","")&amp;IF($B121="","Monthly fee is missing. ",IF(NOT(ISNUMBER($B121)),"Monthly fee must be a number. ",IF($B121&lt;0,"Monthly fee can't be negative. ",IF(ROUND($B121,2)&lt;&gt;$B121,"Monthly fee: use up to 2 decimal places. ",IF($B121&gt;99999.99,"Monthly fee: use 99,999.99 or less. ","")))))&amp;IF($C121="","Visits per month is missing. ",IF(NOT(ISNUMBER($C121)),"Visits per month must be a number. ",IF($C121&lt;0,"Visits per month can't be negative. ",IF(ROUND($C121,3)&lt;&gt;$C121,"Visits per month: use up to 3 decimal places. ",IF($C121=0,"Visits per month must be more than 0. ",IF($C121&gt;31,"Visits per month: use 31 or less. ",""))))))&amp;IF($D121="","Service minutes per visit is missing. ",IF(NOT(ISNUMBER($D121)),"Service minutes per visit must be a number. ",IF($D121&lt;0,"Service minutes per visit can't be negative. ",IF(ROUND($D121,2)&lt;&gt;$D121,"Service minutes per visit: use up to 2 decimal places. ",IF($D121=0,"Service minutes per visit must be more than 0. ",IF($D121&gt;600,"Service minutes per visit: use 600 or less. ",""))))))&amp;IF($E121="","Drive minutes per visit is missing. ",IF(NOT(ISNUMBER($E121)),"Drive minutes per visit must be a number. ",IF($E121&lt;0,"Drive minutes per visit can't be negative. ",IF(ROUND($E121,2)&lt;&gt;$E121,"Drive minutes per visit: use up to 2 decimal places. ",IF($E121&gt;600,"Drive minutes per visit: use 600 or less. ","")))))&amp;IF($F121="","Drive miles per visit is missing. ",IF(NOT(ISNUMBER($F121)),"Drive miles per visit must be a number. ",IF($F121&lt;0,"Drive miles per visit can't be negative. ",IF(ROUND($F121,2)&lt;&gt;$F121,"Drive miles per visit: use up to 2 decimal places. ",IF($F121&gt;1000,"Drive miles per visit: use 1,000 or less. ","")))))&amp;IF($G121="","Chemicals per visit is missing. ",IF(NOT(ISNUMBER($G121)),"Chemicals per visit must be a number. ",IF($G121&lt;0,"Chemicals per visit can't be negative. ",IF(ROUND($G121,2)&lt;&gt;$G121,"Chemicals per visit: use up to 2 decimal places. ",IF($G121&gt;9999.99,"Chemicals per visit: use 9,999.99 or less. ","")))))&amp;IF($H121="","Other monthly costs is missing. ",IF(NOT(ISNUMBER($H121)),"Other monthly costs must be a number. ",IF($H121&lt;0,"Other monthly costs can't be negative. ",IF(ROUND($H121,2)&lt;&gt;$H121,"Other monthly costs: use up to 2 decimal places. ",IF($H121&gt;99999.99,"Other monthly costs: use 99,999.99 or less. ","")))))&amp;IF(SettingsOK,"","Settings incomplete.")))</f>
        <v/>
      </c>
      <c r="T121" s="23" t="str">
        <f aca="false">IF(AND($A121="",$B121="",$C121="",$D121="",$E121="",$F121="",$G121="",$H121=""),"",IF(Review!$B$5="Check inputs",IF($R121="Check inputs",ROW(),""),IF($R121="Check inputs",IF(Review!$B$5="All accounts",-2000000000000000+ROW(),""),IF(AND(Review!$B$5="Needs review",$R121="Meets your target"),"",IF($R121="No fee entered",-1000000000000000+ROW(),$N121/$B121+ROW()/1000000000)))))</f>
        <v/>
      </c>
    </row>
    <row r="122" customFormat="false" ht="15" hidden="false" customHeight="false" outlineLevel="0" collapsed="false">
      <c r="A122" s="14"/>
      <c r="B122" s="15"/>
      <c r="C122" s="16"/>
      <c r="D122" s="14"/>
      <c r="E122" s="14"/>
      <c r="F122" s="14"/>
      <c r="G122" s="15"/>
      <c r="H122" s="15"/>
      <c r="I122" s="17" t="str">
        <f aca="false">IF(OR(AND($A122="",$B122="",$C122="",$D122="",$E122="",$F122="",$G122="",$H122=""),NOT($S122="")),"",ROUND($C122*($D122+$E122)/60,4))</f>
        <v/>
      </c>
      <c r="J122" s="18" t="str">
        <f aca="false">IF(OR(AND($A122="",$B122="",$C122="",$D122="",$E122="",$F122="",$G122="",$H122=""),NOT($S122="")),"",ROUND(ROUND($C122*($D122+$E122)/60*$B$5,9),2))</f>
        <v/>
      </c>
      <c r="K122" s="18" t="str">
        <f aca="false">IF(OR(AND($A122="",$B122="",$C122="",$D122="",$E122="",$F122="",$G122="",$H122=""),NOT($S122="")),"",ROUND(ROUND($C122*$F122*$B$6,9),2))</f>
        <v/>
      </c>
      <c r="L122" s="18" t="str">
        <f aca="false">IF(OR(AND($A122="",$B122="",$C122="",$D122="",$E122="",$F122="",$G122="",$H122=""),NOT($S122="")),"",ROUND(ROUND($C122*$G122,9),2))</f>
        <v/>
      </c>
      <c r="M122" s="19" t="str">
        <f aca="false">IF(OR(AND($A122="",$B122="",$C122="",$D122="",$E122="",$F122="",$G122="",$H122=""),NOT($S122="")),"",ROUND($J122+$K122+$L122+$H122,2))</f>
        <v/>
      </c>
      <c r="N122" s="19" t="str">
        <f aca="false">IF(OR(AND($A122="",$B122="",$C122="",$D122="",$E122="",$F122="",$G122="",$H122=""),NOT($S122="")),"",ROUND($B122-$M122,2))</f>
        <v/>
      </c>
      <c r="O122" s="20" t="str">
        <f aca="false">IF(OR(AND($A122="",$B122="",$C122="",$D122="",$E122="",$F122="",$G122="",$H122=""),NOT($S122="")),"",IF($B122=0,"n/a",INT(ROUND($N122/$B122*10000,6))/10000))</f>
        <v/>
      </c>
      <c r="P122" s="18" t="str">
        <f aca="false">IF(OR(AND($A122="",$B122="",$C122="",$D122="",$E122="",$F122="",$G122="",$H122=""),NOT($S122="")),"",ROUNDUP(ROUND($M122*10000/(10000-TargetH),9),2))</f>
        <v/>
      </c>
      <c r="Q122" s="18" t="str">
        <f aca="false">IF(OR(AND($A122="",$B122="",$C122="",$D122="",$E122="",$F122="",$G122="",$H122=""),NOT($S122="")),"",MAX(0,ROUND($P122-$B122,2)))</f>
        <v/>
      </c>
      <c r="R122" s="21" t="str">
        <f aca="false">IF(AND($A122="",$B122="",$C122="",$D122="",$E122="",$F122="",$G122="",$H122=""),"",IF(NOT($S122=""),"Check inputs",IF($B122=0,"No fee entered",IF($N122&lt;0,"Losing money on entered costs",IF(ROUND($N122*100,0)*10000&lt;TargetH*ROUND($B122*100,0),"Below your target","Meets your target")))))</f>
        <v/>
      </c>
      <c r="S122" s="22" t="str">
        <f aca="false">IF(AND($A122="",$B122="",$C122="",$D122="",$E122="",$F122="",$G122="",$H122=""),"",TRIM(IF($A122="","Customer/site label is missing. ","")&amp;IF($B122="","Monthly fee is missing. ",IF(NOT(ISNUMBER($B122)),"Monthly fee must be a number. ",IF($B122&lt;0,"Monthly fee can't be negative. ",IF(ROUND($B122,2)&lt;&gt;$B122,"Monthly fee: use up to 2 decimal places. ",IF($B122&gt;99999.99,"Monthly fee: use 99,999.99 or less. ","")))))&amp;IF($C122="","Visits per month is missing. ",IF(NOT(ISNUMBER($C122)),"Visits per month must be a number. ",IF($C122&lt;0,"Visits per month can't be negative. ",IF(ROUND($C122,3)&lt;&gt;$C122,"Visits per month: use up to 3 decimal places. ",IF($C122=0,"Visits per month must be more than 0. ",IF($C122&gt;31,"Visits per month: use 31 or less. ",""))))))&amp;IF($D122="","Service minutes per visit is missing. ",IF(NOT(ISNUMBER($D122)),"Service minutes per visit must be a number. ",IF($D122&lt;0,"Service minutes per visit can't be negative. ",IF(ROUND($D122,2)&lt;&gt;$D122,"Service minutes per visit: use up to 2 decimal places. ",IF($D122=0,"Service minutes per visit must be more than 0. ",IF($D122&gt;600,"Service minutes per visit: use 600 or less. ",""))))))&amp;IF($E122="","Drive minutes per visit is missing. ",IF(NOT(ISNUMBER($E122)),"Drive minutes per visit must be a number. ",IF($E122&lt;0,"Drive minutes per visit can't be negative. ",IF(ROUND($E122,2)&lt;&gt;$E122,"Drive minutes per visit: use up to 2 decimal places. ",IF($E122&gt;600,"Drive minutes per visit: use 600 or less. ","")))))&amp;IF($F122="","Drive miles per visit is missing. ",IF(NOT(ISNUMBER($F122)),"Drive miles per visit must be a number. ",IF($F122&lt;0,"Drive miles per visit can't be negative. ",IF(ROUND($F122,2)&lt;&gt;$F122,"Drive miles per visit: use up to 2 decimal places. ",IF($F122&gt;1000,"Drive miles per visit: use 1,000 or less. ","")))))&amp;IF($G122="","Chemicals per visit is missing. ",IF(NOT(ISNUMBER($G122)),"Chemicals per visit must be a number. ",IF($G122&lt;0,"Chemicals per visit can't be negative. ",IF(ROUND($G122,2)&lt;&gt;$G122,"Chemicals per visit: use up to 2 decimal places. ",IF($G122&gt;9999.99,"Chemicals per visit: use 9,999.99 or less. ","")))))&amp;IF($H122="","Other monthly costs is missing. ",IF(NOT(ISNUMBER($H122)),"Other monthly costs must be a number. ",IF($H122&lt;0,"Other monthly costs can't be negative. ",IF(ROUND($H122,2)&lt;&gt;$H122,"Other monthly costs: use up to 2 decimal places. ",IF($H122&gt;99999.99,"Other monthly costs: use 99,999.99 or less. ","")))))&amp;IF(SettingsOK,"","Settings incomplete.")))</f>
        <v/>
      </c>
      <c r="T122" s="23" t="str">
        <f aca="false">IF(AND($A122="",$B122="",$C122="",$D122="",$E122="",$F122="",$G122="",$H122=""),"",IF(Review!$B$5="Check inputs",IF($R122="Check inputs",ROW(),""),IF($R122="Check inputs",IF(Review!$B$5="All accounts",-2000000000000000+ROW(),""),IF(AND(Review!$B$5="Needs review",$R122="Meets your target"),"",IF($R122="No fee entered",-1000000000000000+ROW(),$N122/$B122+ROW()/1000000000)))))</f>
        <v/>
      </c>
    </row>
    <row r="123" customFormat="false" ht="15" hidden="false" customHeight="false" outlineLevel="0" collapsed="false">
      <c r="A123" s="14"/>
      <c r="B123" s="15"/>
      <c r="C123" s="16"/>
      <c r="D123" s="14"/>
      <c r="E123" s="14"/>
      <c r="F123" s="14"/>
      <c r="G123" s="15"/>
      <c r="H123" s="15"/>
      <c r="I123" s="17" t="str">
        <f aca="false">IF(OR(AND($A123="",$B123="",$C123="",$D123="",$E123="",$F123="",$G123="",$H123=""),NOT($S123="")),"",ROUND($C123*($D123+$E123)/60,4))</f>
        <v/>
      </c>
      <c r="J123" s="18" t="str">
        <f aca="false">IF(OR(AND($A123="",$B123="",$C123="",$D123="",$E123="",$F123="",$G123="",$H123=""),NOT($S123="")),"",ROUND(ROUND($C123*($D123+$E123)/60*$B$5,9),2))</f>
        <v/>
      </c>
      <c r="K123" s="18" t="str">
        <f aca="false">IF(OR(AND($A123="",$B123="",$C123="",$D123="",$E123="",$F123="",$G123="",$H123=""),NOT($S123="")),"",ROUND(ROUND($C123*$F123*$B$6,9),2))</f>
        <v/>
      </c>
      <c r="L123" s="18" t="str">
        <f aca="false">IF(OR(AND($A123="",$B123="",$C123="",$D123="",$E123="",$F123="",$G123="",$H123=""),NOT($S123="")),"",ROUND(ROUND($C123*$G123,9),2))</f>
        <v/>
      </c>
      <c r="M123" s="19" t="str">
        <f aca="false">IF(OR(AND($A123="",$B123="",$C123="",$D123="",$E123="",$F123="",$G123="",$H123=""),NOT($S123="")),"",ROUND($J123+$K123+$L123+$H123,2))</f>
        <v/>
      </c>
      <c r="N123" s="19" t="str">
        <f aca="false">IF(OR(AND($A123="",$B123="",$C123="",$D123="",$E123="",$F123="",$G123="",$H123=""),NOT($S123="")),"",ROUND($B123-$M123,2))</f>
        <v/>
      </c>
      <c r="O123" s="20" t="str">
        <f aca="false">IF(OR(AND($A123="",$B123="",$C123="",$D123="",$E123="",$F123="",$G123="",$H123=""),NOT($S123="")),"",IF($B123=0,"n/a",INT(ROUND($N123/$B123*10000,6))/10000))</f>
        <v/>
      </c>
      <c r="P123" s="18" t="str">
        <f aca="false">IF(OR(AND($A123="",$B123="",$C123="",$D123="",$E123="",$F123="",$G123="",$H123=""),NOT($S123="")),"",ROUNDUP(ROUND($M123*10000/(10000-TargetH),9),2))</f>
        <v/>
      </c>
      <c r="Q123" s="18" t="str">
        <f aca="false">IF(OR(AND($A123="",$B123="",$C123="",$D123="",$E123="",$F123="",$G123="",$H123=""),NOT($S123="")),"",MAX(0,ROUND($P123-$B123,2)))</f>
        <v/>
      </c>
      <c r="R123" s="21" t="str">
        <f aca="false">IF(AND($A123="",$B123="",$C123="",$D123="",$E123="",$F123="",$G123="",$H123=""),"",IF(NOT($S123=""),"Check inputs",IF($B123=0,"No fee entered",IF($N123&lt;0,"Losing money on entered costs",IF(ROUND($N123*100,0)*10000&lt;TargetH*ROUND($B123*100,0),"Below your target","Meets your target")))))</f>
        <v/>
      </c>
      <c r="S123" s="22" t="str">
        <f aca="false">IF(AND($A123="",$B123="",$C123="",$D123="",$E123="",$F123="",$G123="",$H123=""),"",TRIM(IF($A123="","Customer/site label is missing. ","")&amp;IF($B123="","Monthly fee is missing. ",IF(NOT(ISNUMBER($B123)),"Monthly fee must be a number. ",IF($B123&lt;0,"Monthly fee can't be negative. ",IF(ROUND($B123,2)&lt;&gt;$B123,"Monthly fee: use up to 2 decimal places. ",IF($B123&gt;99999.99,"Monthly fee: use 99,999.99 or less. ","")))))&amp;IF($C123="","Visits per month is missing. ",IF(NOT(ISNUMBER($C123)),"Visits per month must be a number. ",IF($C123&lt;0,"Visits per month can't be negative. ",IF(ROUND($C123,3)&lt;&gt;$C123,"Visits per month: use up to 3 decimal places. ",IF($C123=0,"Visits per month must be more than 0. ",IF($C123&gt;31,"Visits per month: use 31 or less. ",""))))))&amp;IF($D123="","Service minutes per visit is missing. ",IF(NOT(ISNUMBER($D123)),"Service minutes per visit must be a number. ",IF($D123&lt;0,"Service minutes per visit can't be negative. ",IF(ROUND($D123,2)&lt;&gt;$D123,"Service minutes per visit: use up to 2 decimal places. ",IF($D123=0,"Service minutes per visit must be more than 0. ",IF($D123&gt;600,"Service minutes per visit: use 600 or less. ",""))))))&amp;IF($E123="","Drive minutes per visit is missing. ",IF(NOT(ISNUMBER($E123)),"Drive minutes per visit must be a number. ",IF($E123&lt;0,"Drive minutes per visit can't be negative. ",IF(ROUND($E123,2)&lt;&gt;$E123,"Drive minutes per visit: use up to 2 decimal places. ",IF($E123&gt;600,"Drive minutes per visit: use 600 or less. ","")))))&amp;IF($F123="","Drive miles per visit is missing. ",IF(NOT(ISNUMBER($F123)),"Drive miles per visit must be a number. ",IF($F123&lt;0,"Drive miles per visit can't be negative. ",IF(ROUND($F123,2)&lt;&gt;$F123,"Drive miles per visit: use up to 2 decimal places. ",IF($F123&gt;1000,"Drive miles per visit: use 1,000 or less. ","")))))&amp;IF($G123="","Chemicals per visit is missing. ",IF(NOT(ISNUMBER($G123)),"Chemicals per visit must be a number. ",IF($G123&lt;0,"Chemicals per visit can't be negative. ",IF(ROUND($G123,2)&lt;&gt;$G123,"Chemicals per visit: use up to 2 decimal places. ",IF($G123&gt;9999.99,"Chemicals per visit: use 9,999.99 or less. ","")))))&amp;IF($H123="","Other monthly costs is missing. ",IF(NOT(ISNUMBER($H123)),"Other monthly costs must be a number. ",IF($H123&lt;0,"Other monthly costs can't be negative. ",IF(ROUND($H123,2)&lt;&gt;$H123,"Other monthly costs: use up to 2 decimal places. ",IF($H123&gt;99999.99,"Other monthly costs: use 99,999.99 or less. ","")))))&amp;IF(SettingsOK,"","Settings incomplete.")))</f>
        <v/>
      </c>
      <c r="T123" s="23" t="str">
        <f aca="false">IF(AND($A123="",$B123="",$C123="",$D123="",$E123="",$F123="",$G123="",$H123=""),"",IF(Review!$B$5="Check inputs",IF($R123="Check inputs",ROW(),""),IF($R123="Check inputs",IF(Review!$B$5="All accounts",-2000000000000000+ROW(),""),IF(AND(Review!$B$5="Needs review",$R123="Meets your target"),"",IF($R123="No fee entered",-1000000000000000+ROW(),$N123/$B123+ROW()/1000000000)))))</f>
        <v/>
      </c>
    </row>
    <row r="124" customFormat="false" ht="15" hidden="false" customHeight="false" outlineLevel="0" collapsed="false">
      <c r="A124" s="14"/>
      <c r="B124" s="15"/>
      <c r="C124" s="16"/>
      <c r="D124" s="14"/>
      <c r="E124" s="14"/>
      <c r="F124" s="14"/>
      <c r="G124" s="15"/>
      <c r="H124" s="15"/>
      <c r="I124" s="17" t="str">
        <f aca="false">IF(OR(AND($A124="",$B124="",$C124="",$D124="",$E124="",$F124="",$G124="",$H124=""),NOT($S124="")),"",ROUND($C124*($D124+$E124)/60,4))</f>
        <v/>
      </c>
      <c r="J124" s="18" t="str">
        <f aca="false">IF(OR(AND($A124="",$B124="",$C124="",$D124="",$E124="",$F124="",$G124="",$H124=""),NOT($S124="")),"",ROUND(ROUND($C124*($D124+$E124)/60*$B$5,9),2))</f>
        <v/>
      </c>
      <c r="K124" s="18" t="str">
        <f aca="false">IF(OR(AND($A124="",$B124="",$C124="",$D124="",$E124="",$F124="",$G124="",$H124=""),NOT($S124="")),"",ROUND(ROUND($C124*$F124*$B$6,9),2))</f>
        <v/>
      </c>
      <c r="L124" s="18" t="str">
        <f aca="false">IF(OR(AND($A124="",$B124="",$C124="",$D124="",$E124="",$F124="",$G124="",$H124=""),NOT($S124="")),"",ROUND(ROUND($C124*$G124,9),2))</f>
        <v/>
      </c>
      <c r="M124" s="19" t="str">
        <f aca="false">IF(OR(AND($A124="",$B124="",$C124="",$D124="",$E124="",$F124="",$G124="",$H124=""),NOT($S124="")),"",ROUND($J124+$K124+$L124+$H124,2))</f>
        <v/>
      </c>
      <c r="N124" s="19" t="str">
        <f aca="false">IF(OR(AND($A124="",$B124="",$C124="",$D124="",$E124="",$F124="",$G124="",$H124=""),NOT($S124="")),"",ROUND($B124-$M124,2))</f>
        <v/>
      </c>
      <c r="O124" s="20" t="str">
        <f aca="false">IF(OR(AND($A124="",$B124="",$C124="",$D124="",$E124="",$F124="",$G124="",$H124=""),NOT($S124="")),"",IF($B124=0,"n/a",INT(ROUND($N124/$B124*10000,6))/10000))</f>
        <v/>
      </c>
      <c r="P124" s="18" t="str">
        <f aca="false">IF(OR(AND($A124="",$B124="",$C124="",$D124="",$E124="",$F124="",$G124="",$H124=""),NOT($S124="")),"",ROUNDUP(ROUND($M124*10000/(10000-TargetH),9),2))</f>
        <v/>
      </c>
      <c r="Q124" s="18" t="str">
        <f aca="false">IF(OR(AND($A124="",$B124="",$C124="",$D124="",$E124="",$F124="",$G124="",$H124=""),NOT($S124="")),"",MAX(0,ROUND($P124-$B124,2)))</f>
        <v/>
      </c>
      <c r="R124" s="21" t="str">
        <f aca="false">IF(AND($A124="",$B124="",$C124="",$D124="",$E124="",$F124="",$G124="",$H124=""),"",IF(NOT($S124=""),"Check inputs",IF($B124=0,"No fee entered",IF($N124&lt;0,"Losing money on entered costs",IF(ROUND($N124*100,0)*10000&lt;TargetH*ROUND($B124*100,0),"Below your target","Meets your target")))))</f>
        <v/>
      </c>
      <c r="S124" s="22" t="str">
        <f aca="false">IF(AND($A124="",$B124="",$C124="",$D124="",$E124="",$F124="",$G124="",$H124=""),"",TRIM(IF($A124="","Customer/site label is missing. ","")&amp;IF($B124="","Monthly fee is missing. ",IF(NOT(ISNUMBER($B124)),"Monthly fee must be a number. ",IF($B124&lt;0,"Monthly fee can't be negative. ",IF(ROUND($B124,2)&lt;&gt;$B124,"Monthly fee: use up to 2 decimal places. ",IF($B124&gt;99999.99,"Monthly fee: use 99,999.99 or less. ","")))))&amp;IF($C124="","Visits per month is missing. ",IF(NOT(ISNUMBER($C124)),"Visits per month must be a number. ",IF($C124&lt;0,"Visits per month can't be negative. ",IF(ROUND($C124,3)&lt;&gt;$C124,"Visits per month: use up to 3 decimal places. ",IF($C124=0,"Visits per month must be more than 0. ",IF($C124&gt;31,"Visits per month: use 31 or less. ",""))))))&amp;IF($D124="","Service minutes per visit is missing. ",IF(NOT(ISNUMBER($D124)),"Service minutes per visit must be a number. ",IF($D124&lt;0,"Service minutes per visit can't be negative. ",IF(ROUND($D124,2)&lt;&gt;$D124,"Service minutes per visit: use up to 2 decimal places. ",IF($D124=0,"Service minutes per visit must be more than 0. ",IF($D124&gt;600,"Service minutes per visit: use 600 or less. ",""))))))&amp;IF($E124="","Drive minutes per visit is missing. ",IF(NOT(ISNUMBER($E124)),"Drive minutes per visit must be a number. ",IF($E124&lt;0,"Drive minutes per visit can't be negative. ",IF(ROUND($E124,2)&lt;&gt;$E124,"Drive minutes per visit: use up to 2 decimal places. ",IF($E124&gt;600,"Drive minutes per visit: use 600 or less. ","")))))&amp;IF($F124="","Drive miles per visit is missing. ",IF(NOT(ISNUMBER($F124)),"Drive miles per visit must be a number. ",IF($F124&lt;0,"Drive miles per visit can't be negative. ",IF(ROUND($F124,2)&lt;&gt;$F124,"Drive miles per visit: use up to 2 decimal places. ",IF($F124&gt;1000,"Drive miles per visit: use 1,000 or less. ","")))))&amp;IF($G124="","Chemicals per visit is missing. ",IF(NOT(ISNUMBER($G124)),"Chemicals per visit must be a number. ",IF($G124&lt;0,"Chemicals per visit can't be negative. ",IF(ROUND($G124,2)&lt;&gt;$G124,"Chemicals per visit: use up to 2 decimal places. ",IF($G124&gt;9999.99,"Chemicals per visit: use 9,999.99 or less. ","")))))&amp;IF($H124="","Other monthly costs is missing. ",IF(NOT(ISNUMBER($H124)),"Other monthly costs must be a number. ",IF($H124&lt;0,"Other monthly costs can't be negative. ",IF(ROUND($H124,2)&lt;&gt;$H124,"Other monthly costs: use up to 2 decimal places. ",IF($H124&gt;99999.99,"Other monthly costs: use 99,999.99 or less. ","")))))&amp;IF(SettingsOK,"","Settings incomplete.")))</f>
        <v/>
      </c>
      <c r="T124" s="23" t="str">
        <f aca="false">IF(AND($A124="",$B124="",$C124="",$D124="",$E124="",$F124="",$G124="",$H124=""),"",IF(Review!$B$5="Check inputs",IF($R124="Check inputs",ROW(),""),IF($R124="Check inputs",IF(Review!$B$5="All accounts",-2000000000000000+ROW(),""),IF(AND(Review!$B$5="Needs review",$R124="Meets your target"),"",IF($R124="No fee entered",-1000000000000000+ROW(),$N124/$B124+ROW()/1000000000)))))</f>
        <v/>
      </c>
    </row>
    <row r="125" customFormat="false" ht="15" hidden="false" customHeight="false" outlineLevel="0" collapsed="false">
      <c r="A125" s="14"/>
      <c r="B125" s="15"/>
      <c r="C125" s="16"/>
      <c r="D125" s="14"/>
      <c r="E125" s="14"/>
      <c r="F125" s="14"/>
      <c r="G125" s="15"/>
      <c r="H125" s="15"/>
      <c r="I125" s="17" t="str">
        <f aca="false">IF(OR(AND($A125="",$B125="",$C125="",$D125="",$E125="",$F125="",$G125="",$H125=""),NOT($S125="")),"",ROUND($C125*($D125+$E125)/60,4))</f>
        <v/>
      </c>
      <c r="J125" s="18" t="str">
        <f aca="false">IF(OR(AND($A125="",$B125="",$C125="",$D125="",$E125="",$F125="",$G125="",$H125=""),NOT($S125="")),"",ROUND(ROUND($C125*($D125+$E125)/60*$B$5,9),2))</f>
        <v/>
      </c>
      <c r="K125" s="18" t="str">
        <f aca="false">IF(OR(AND($A125="",$B125="",$C125="",$D125="",$E125="",$F125="",$G125="",$H125=""),NOT($S125="")),"",ROUND(ROUND($C125*$F125*$B$6,9),2))</f>
        <v/>
      </c>
      <c r="L125" s="18" t="str">
        <f aca="false">IF(OR(AND($A125="",$B125="",$C125="",$D125="",$E125="",$F125="",$G125="",$H125=""),NOT($S125="")),"",ROUND(ROUND($C125*$G125,9),2))</f>
        <v/>
      </c>
      <c r="M125" s="19" t="str">
        <f aca="false">IF(OR(AND($A125="",$B125="",$C125="",$D125="",$E125="",$F125="",$G125="",$H125=""),NOT($S125="")),"",ROUND($J125+$K125+$L125+$H125,2))</f>
        <v/>
      </c>
      <c r="N125" s="19" t="str">
        <f aca="false">IF(OR(AND($A125="",$B125="",$C125="",$D125="",$E125="",$F125="",$G125="",$H125=""),NOT($S125="")),"",ROUND($B125-$M125,2))</f>
        <v/>
      </c>
      <c r="O125" s="20" t="str">
        <f aca="false">IF(OR(AND($A125="",$B125="",$C125="",$D125="",$E125="",$F125="",$G125="",$H125=""),NOT($S125="")),"",IF($B125=0,"n/a",INT(ROUND($N125/$B125*10000,6))/10000))</f>
        <v/>
      </c>
      <c r="P125" s="18" t="str">
        <f aca="false">IF(OR(AND($A125="",$B125="",$C125="",$D125="",$E125="",$F125="",$G125="",$H125=""),NOT($S125="")),"",ROUNDUP(ROUND($M125*10000/(10000-TargetH),9),2))</f>
        <v/>
      </c>
      <c r="Q125" s="18" t="str">
        <f aca="false">IF(OR(AND($A125="",$B125="",$C125="",$D125="",$E125="",$F125="",$G125="",$H125=""),NOT($S125="")),"",MAX(0,ROUND($P125-$B125,2)))</f>
        <v/>
      </c>
      <c r="R125" s="21" t="str">
        <f aca="false">IF(AND($A125="",$B125="",$C125="",$D125="",$E125="",$F125="",$G125="",$H125=""),"",IF(NOT($S125=""),"Check inputs",IF($B125=0,"No fee entered",IF($N125&lt;0,"Losing money on entered costs",IF(ROUND($N125*100,0)*10000&lt;TargetH*ROUND($B125*100,0),"Below your target","Meets your target")))))</f>
        <v/>
      </c>
      <c r="S125" s="22" t="str">
        <f aca="false">IF(AND($A125="",$B125="",$C125="",$D125="",$E125="",$F125="",$G125="",$H125=""),"",TRIM(IF($A125="","Customer/site label is missing. ","")&amp;IF($B125="","Monthly fee is missing. ",IF(NOT(ISNUMBER($B125)),"Monthly fee must be a number. ",IF($B125&lt;0,"Monthly fee can't be negative. ",IF(ROUND($B125,2)&lt;&gt;$B125,"Monthly fee: use up to 2 decimal places. ",IF($B125&gt;99999.99,"Monthly fee: use 99,999.99 or less. ","")))))&amp;IF($C125="","Visits per month is missing. ",IF(NOT(ISNUMBER($C125)),"Visits per month must be a number. ",IF($C125&lt;0,"Visits per month can't be negative. ",IF(ROUND($C125,3)&lt;&gt;$C125,"Visits per month: use up to 3 decimal places. ",IF($C125=0,"Visits per month must be more than 0. ",IF($C125&gt;31,"Visits per month: use 31 or less. ",""))))))&amp;IF($D125="","Service minutes per visit is missing. ",IF(NOT(ISNUMBER($D125)),"Service minutes per visit must be a number. ",IF($D125&lt;0,"Service minutes per visit can't be negative. ",IF(ROUND($D125,2)&lt;&gt;$D125,"Service minutes per visit: use up to 2 decimal places. ",IF($D125=0,"Service minutes per visit must be more than 0. ",IF($D125&gt;600,"Service minutes per visit: use 600 or less. ",""))))))&amp;IF($E125="","Drive minutes per visit is missing. ",IF(NOT(ISNUMBER($E125)),"Drive minutes per visit must be a number. ",IF($E125&lt;0,"Drive minutes per visit can't be negative. ",IF(ROUND($E125,2)&lt;&gt;$E125,"Drive minutes per visit: use up to 2 decimal places. ",IF($E125&gt;600,"Drive minutes per visit: use 600 or less. ","")))))&amp;IF($F125="","Drive miles per visit is missing. ",IF(NOT(ISNUMBER($F125)),"Drive miles per visit must be a number. ",IF($F125&lt;0,"Drive miles per visit can't be negative. ",IF(ROUND($F125,2)&lt;&gt;$F125,"Drive miles per visit: use up to 2 decimal places. ",IF($F125&gt;1000,"Drive miles per visit: use 1,000 or less. ","")))))&amp;IF($G125="","Chemicals per visit is missing. ",IF(NOT(ISNUMBER($G125)),"Chemicals per visit must be a number. ",IF($G125&lt;0,"Chemicals per visit can't be negative. ",IF(ROUND($G125,2)&lt;&gt;$G125,"Chemicals per visit: use up to 2 decimal places. ",IF($G125&gt;9999.99,"Chemicals per visit: use 9,999.99 or less. ","")))))&amp;IF($H125="","Other monthly costs is missing. ",IF(NOT(ISNUMBER($H125)),"Other monthly costs must be a number. ",IF($H125&lt;0,"Other monthly costs can't be negative. ",IF(ROUND($H125,2)&lt;&gt;$H125,"Other monthly costs: use up to 2 decimal places. ",IF($H125&gt;99999.99,"Other monthly costs: use 99,999.99 or less. ","")))))&amp;IF(SettingsOK,"","Settings incomplete.")))</f>
        <v/>
      </c>
      <c r="T125" s="23" t="str">
        <f aca="false">IF(AND($A125="",$B125="",$C125="",$D125="",$E125="",$F125="",$G125="",$H125=""),"",IF(Review!$B$5="Check inputs",IF($R125="Check inputs",ROW(),""),IF($R125="Check inputs",IF(Review!$B$5="All accounts",-2000000000000000+ROW(),""),IF(AND(Review!$B$5="Needs review",$R125="Meets your target"),"",IF($R125="No fee entered",-1000000000000000+ROW(),$N125/$B125+ROW()/1000000000)))))</f>
        <v/>
      </c>
    </row>
    <row r="126" customFormat="false" ht="15" hidden="false" customHeight="false" outlineLevel="0" collapsed="false">
      <c r="A126" s="14"/>
      <c r="B126" s="15"/>
      <c r="C126" s="16"/>
      <c r="D126" s="14"/>
      <c r="E126" s="14"/>
      <c r="F126" s="14"/>
      <c r="G126" s="15"/>
      <c r="H126" s="15"/>
      <c r="I126" s="17" t="str">
        <f aca="false">IF(OR(AND($A126="",$B126="",$C126="",$D126="",$E126="",$F126="",$G126="",$H126=""),NOT($S126="")),"",ROUND($C126*($D126+$E126)/60,4))</f>
        <v/>
      </c>
      <c r="J126" s="18" t="str">
        <f aca="false">IF(OR(AND($A126="",$B126="",$C126="",$D126="",$E126="",$F126="",$G126="",$H126=""),NOT($S126="")),"",ROUND(ROUND($C126*($D126+$E126)/60*$B$5,9),2))</f>
        <v/>
      </c>
      <c r="K126" s="18" t="str">
        <f aca="false">IF(OR(AND($A126="",$B126="",$C126="",$D126="",$E126="",$F126="",$G126="",$H126=""),NOT($S126="")),"",ROUND(ROUND($C126*$F126*$B$6,9),2))</f>
        <v/>
      </c>
      <c r="L126" s="18" t="str">
        <f aca="false">IF(OR(AND($A126="",$B126="",$C126="",$D126="",$E126="",$F126="",$G126="",$H126=""),NOT($S126="")),"",ROUND(ROUND($C126*$G126,9),2))</f>
        <v/>
      </c>
      <c r="M126" s="19" t="str">
        <f aca="false">IF(OR(AND($A126="",$B126="",$C126="",$D126="",$E126="",$F126="",$G126="",$H126=""),NOT($S126="")),"",ROUND($J126+$K126+$L126+$H126,2))</f>
        <v/>
      </c>
      <c r="N126" s="19" t="str">
        <f aca="false">IF(OR(AND($A126="",$B126="",$C126="",$D126="",$E126="",$F126="",$G126="",$H126=""),NOT($S126="")),"",ROUND($B126-$M126,2))</f>
        <v/>
      </c>
      <c r="O126" s="20" t="str">
        <f aca="false">IF(OR(AND($A126="",$B126="",$C126="",$D126="",$E126="",$F126="",$G126="",$H126=""),NOT($S126="")),"",IF($B126=0,"n/a",INT(ROUND($N126/$B126*10000,6))/10000))</f>
        <v/>
      </c>
      <c r="P126" s="18" t="str">
        <f aca="false">IF(OR(AND($A126="",$B126="",$C126="",$D126="",$E126="",$F126="",$G126="",$H126=""),NOT($S126="")),"",ROUNDUP(ROUND($M126*10000/(10000-TargetH),9),2))</f>
        <v/>
      </c>
      <c r="Q126" s="18" t="str">
        <f aca="false">IF(OR(AND($A126="",$B126="",$C126="",$D126="",$E126="",$F126="",$G126="",$H126=""),NOT($S126="")),"",MAX(0,ROUND($P126-$B126,2)))</f>
        <v/>
      </c>
      <c r="R126" s="21" t="str">
        <f aca="false">IF(AND($A126="",$B126="",$C126="",$D126="",$E126="",$F126="",$G126="",$H126=""),"",IF(NOT($S126=""),"Check inputs",IF($B126=0,"No fee entered",IF($N126&lt;0,"Losing money on entered costs",IF(ROUND($N126*100,0)*10000&lt;TargetH*ROUND($B126*100,0),"Below your target","Meets your target")))))</f>
        <v/>
      </c>
      <c r="S126" s="22" t="str">
        <f aca="false">IF(AND($A126="",$B126="",$C126="",$D126="",$E126="",$F126="",$G126="",$H126=""),"",TRIM(IF($A126="","Customer/site label is missing. ","")&amp;IF($B126="","Monthly fee is missing. ",IF(NOT(ISNUMBER($B126)),"Monthly fee must be a number. ",IF($B126&lt;0,"Monthly fee can't be negative. ",IF(ROUND($B126,2)&lt;&gt;$B126,"Monthly fee: use up to 2 decimal places. ",IF($B126&gt;99999.99,"Monthly fee: use 99,999.99 or less. ","")))))&amp;IF($C126="","Visits per month is missing. ",IF(NOT(ISNUMBER($C126)),"Visits per month must be a number. ",IF($C126&lt;0,"Visits per month can't be negative. ",IF(ROUND($C126,3)&lt;&gt;$C126,"Visits per month: use up to 3 decimal places. ",IF($C126=0,"Visits per month must be more than 0. ",IF($C126&gt;31,"Visits per month: use 31 or less. ",""))))))&amp;IF($D126="","Service minutes per visit is missing. ",IF(NOT(ISNUMBER($D126)),"Service minutes per visit must be a number. ",IF($D126&lt;0,"Service minutes per visit can't be negative. ",IF(ROUND($D126,2)&lt;&gt;$D126,"Service minutes per visit: use up to 2 decimal places. ",IF($D126=0,"Service minutes per visit must be more than 0. ",IF($D126&gt;600,"Service minutes per visit: use 600 or less. ",""))))))&amp;IF($E126="","Drive minutes per visit is missing. ",IF(NOT(ISNUMBER($E126)),"Drive minutes per visit must be a number. ",IF($E126&lt;0,"Drive minutes per visit can't be negative. ",IF(ROUND($E126,2)&lt;&gt;$E126,"Drive minutes per visit: use up to 2 decimal places. ",IF($E126&gt;600,"Drive minutes per visit: use 600 or less. ","")))))&amp;IF($F126="","Drive miles per visit is missing. ",IF(NOT(ISNUMBER($F126)),"Drive miles per visit must be a number. ",IF($F126&lt;0,"Drive miles per visit can't be negative. ",IF(ROUND($F126,2)&lt;&gt;$F126,"Drive miles per visit: use up to 2 decimal places. ",IF($F126&gt;1000,"Drive miles per visit: use 1,000 or less. ","")))))&amp;IF($G126="","Chemicals per visit is missing. ",IF(NOT(ISNUMBER($G126)),"Chemicals per visit must be a number. ",IF($G126&lt;0,"Chemicals per visit can't be negative. ",IF(ROUND($G126,2)&lt;&gt;$G126,"Chemicals per visit: use up to 2 decimal places. ",IF($G126&gt;9999.99,"Chemicals per visit: use 9,999.99 or less. ","")))))&amp;IF($H126="","Other monthly costs is missing. ",IF(NOT(ISNUMBER($H126)),"Other monthly costs must be a number. ",IF($H126&lt;0,"Other monthly costs can't be negative. ",IF(ROUND($H126,2)&lt;&gt;$H126,"Other monthly costs: use up to 2 decimal places. ",IF($H126&gt;99999.99,"Other monthly costs: use 99,999.99 or less. ","")))))&amp;IF(SettingsOK,"","Settings incomplete.")))</f>
        <v/>
      </c>
      <c r="T126" s="23" t="str">
        <f aca="false">IF(AND($A126="",$B126="",$C126="",$D126="",$E126="",$F126="",$G126="",$H126=""),"",IF(Review!$B$5="Check inputs",IF($R126="Check inputs",ROW(),""),IF($R126="Check inputs",IF(Review!$B$5="All accounts",-2000000000000000+ROW(),""),IF(AND(Review!$B$5="Needs review",$R126="Meets your target"),"",IF($R126="No fee entered",-1000000000000000+ROW(),$N126/$B126+ROW()/1000000000)))))</f>
        <v/>
      </c>
    </row>
    <row r="127" customFormat="false" ht="15" hidden="false" customHeight="false" outlineLevel="0" collapsed="false">
      <c r="A127" s="14"/>
      <c r="B127" s="15"/>
      <c r="C127" s="16"/>
      <c r="D127" s="14"/>
      <c r="E127" s="14"/>
      <c r="F127" s="14"/>
      <c r="G127" s="15"/>
      <c r="H127" s="15"/>
      <c r="I127" s="17" t="str">
        <f aca="false">IF(OR(AND($A127="",$B127="",$C127="",$D127="",$E127="",$F127="",$G127="",$H127=""),NOT($S127="")),"",ROUND($C127*($D127+$E127)/60,4))</f>
        <v/>
      </c>
      <c r="J127" s="18" t="str">
        <f aca="false">IF(OR(AND($A127="",$B127="",$C127="",$D127="",$E127="",$F127="",$G127="",$H127=""),NOT($S127="")),"",ROUND(ROUND($C127*($D127+$E127)/60*$B$5,9),2))</f>
        <v/>
      </c>
      <c r="K127" s="18" t="str">
        <f aca="false">IF(OR(AND($A127="",$B127="",$C127="",$D127="",$E127="",$F127="",$G127="",$H127=""),NOT($S127="")),"",ROUND(ROUND($C127*$F127*$B$6,9),2))</f>
        <v/>
      </c>
      <c r="L127" s="18" t="str">
        <f aca="false">IF(OR(AND($A127="",$B127="",$C127="",$D127="",$E127="",$F127="",$G127="",$H127=""),NOT($S127="")),"",ROUND(ROUND($C127*$G127,9),2))</f>
        <v/>
      </c>
      <c r="M127" s="19" t="str">
        <f aca="false">IF(OR(AND($A127="",$B127="",$C127="",$D127="",$E127="",$F127="",$G127="",$H127=""),NOT($S127="")),"",ROUND($J127+$K127+$L127+$H127,2))</f>
        <v/>
      </c>
      <c r="N127" s="19" t="str">
        <f aca="false">IF(OR(AND($A127="",$B127="",$C127="",$D127="",$E127="",$F127="",$G127="",$H127=""),NOT($S127="")),"",ROUND($B127-$M127,2))</f>
        <v/>
      </c>
      <c r="O127" s="20" t="str">
        <f aca="false">IF(OR(AND($A127="",$B127="",$C127="",$D127="",$E127="",$F127="",$G127="",$H127=""),NOT($S127="")),"",IF($B127=0,"n/a",INT(ROUND($N127/$B127*10000,6))/10000))</f>
        <v/>
      </c>
      <c r="P127" s="18" t="str">
        <f aca="false">IF(OR(AND($A127="",$B127="",$C127="",$D127="",$E127="",$F127="",$G127="",$H127=""),NOT($S127="")),"",ROUNDUP(ROUND($M127*10000/(10000-TargetH),9),2))</f>
        <v/>
      </c>
      <c r="Q127" s="18" t="str">
        <f aca="false">IF(OR(AND($A127="",$B127="",$C127="",$D127="",$E127="",$F127="",$G127="",$H127=""),NOT($S127="")),"",MAX(0,ROUND($P127-$B127,2)))</f>
        <v/>
      </c>
      <c r="R127" s="21" t="str">
        <f aca="false">IF(AND($A127="",$B127="",$C127="",$D127="",$E127="",$F127="",$G127="",$H127=""),"",IF(NOT($S127=""),"Check inputs",IF($B127=0,"No fee entered",IF($N127&lt;0,"Losing money on entered costs",IF(ROUND($N127*100,0)*10000&lt;TargetH*ROUND($B127*100,0),"Below your target","Meets your target")))))</f>
        <v/>
      </c>
      <c r="S127" s="22" t="str">
        <f aca="false">IF(AND($A127="",$B127="",$C127="",$D127="",$E127="",$F127="",$G127="",$H127=""),"",TRIM(IF($A127="","Customer/site label is missing. ","")&amp;IF($B127="","Monthly fee is missing. ",IF(NOT(ISNUMBER($B127)),"Monthly fee must be a number. ",IF($B127&lt;0,"Monthly fee can't be negative. ",IF(ROUND($B127,2)&lt;&gt;$B127,"Monthly fee: use up to 2 decimal places. ",IF($B127&gt;99999.99,"Monthly fee: use 99,999.99 or less. ","")))))&amp;IF($C127="","Visits per month is missing. ",IF(NOT(ISNUMBER($C127)),"Visits per month must be a number. ",IF($C127&lt;0,"Visits per month can't be negative. ",IF(ROUND($C127,3)&lt;&gt;$C127,"Visits per month: use up to 3 decimal places. ",IF($C127=0,"Visits per month must be more than 0. ",IF($C127&gt;31,"Visits per month: use 31 or less. ",""))))))&amp;IF($D127="","Service minutes per visit is missing. ",IF(NOT(ISNUMBER($D127)),"Service minutes per visit must be a number. ",IF($D127&lt;0,"Service minutes per visit can't be negative. ",IF(ROUND($D127,2)&lt;&gt;$D127,"Service minutes per visit: use up to 2 decimal places. ",IF($D127=0,"Service minutes per visit must be more than 0. ",IF($D127&gt;600,"Service minutes per visit: use 600 or less. ",""))))))&amp;IF($E127="","Drive minutes per visit is missing. ",IF(NOT(ISNUMBER($E127)),"Drive minutes per visit must be a number. ",IF($E127&lt;0,"Drive minutes per visit can't be negative. ",IF(ROUND($E127,2)&lt;&gt;$E127,"Drive minutes per visit: use up to 2 decimal places. ",IF($E127&gt;600,"Drive minutes per visit: use 600 or less. ","")))))&amp;IF($F127="","Drive miles per visit is missing. ",IF(NOT(ISNUMBER($F127)),"Drive miles per visit must be a number. ",IF($F127&lt;0,"Drive miles per visit can't be negative. ",IF(ROUND($F127,2)&lt;&gt;$F127,"Drive miles per visit: use up to 2 decimal places. ",IF($F127&gt;1000,"Drive miles per visit: use 1,000 or less. ","")))))&amp;IF($G127="","Chemicals per visit is missing. ",IF(NOT(ISNUMBER($G127)),"Chemicals per visit must be a number. ",IF($G127&lt;0,"Chemicals per visit can't be negative. ",IF(ROUND($G127,2)&lt;&gt;$G127,"Chemicals per visit: use up to 2 decimal places. ",IF($G127&gt;9999.99,"Chemicals per visit: use 9,999.99 or less. ","")))))&amp;IF($H127="","Other monthly costs is missing. ",IF(NOT(ISNUMBER($H127)),"Other monthly costs must be a number. ",IF($H127&lt;0,"Other monthly costs can't be negative. ",IF(ROUND($H127,2)&lt;&gt;$H127,"Other monthly costs: use up to 2 decimal places. ",IF($H127&gt;99999.99,"Other monthly costs: use 99,999.99 or less. ","")))))&amp;IF(SettingsOK,"","Settings incomplete.")))</f>
        <v/>
      </c>
      <c r="T127" s="23" t="str">
        <f aca="false">IF(AND($A127="",$B127="",$C127="",$D127="",$E127="",$F127="",$G127="",$H127=""),"",IF(Review!$B$5="Check inputs",IF($R127="Check inputs",ROW(),""),IF($R127="Check inputs",IF(Review!$B$5="All accounts",-2000000000000000+ROW(),""),IF(AND(Review!$B$5="Needs review",$R127="Meets your target"),"",IF($R127="No fee entered",-1000000000000000+ROW(),$N127/$B127+ROW()/1000000000)))))</f>
        <v/>
      </c>
    </row>
    <row r="128" customFormat="false" ht="15" hidden="false" customHeight="false" outlineLevel="0" collapsed="false">
      <c r="A128" s="14"/>
      <c r="B128" s="15"/>
      <c r="C128" s="16"/>
      <c r="D128" s="14"/>
      <c r="E128" s="14"/>
      <c r="F128" s="14"/>
      <c r="G128" s="15"/>
      <c r="H128" s="15"/>
      <c r="I128" s="17" t="str">
        <f aca="false">IF(OR(AND($A128="",$B128="",$C128="",$D128="",$E128="",$F128="",$G128="",$H128=""),NOT($S128="")),"",ROUND($C128*($D128+$E128)/60,4))</f>
        <v/>
      </c>
      <c r="J128" s="18" t="str">
        <f aca="false">IF(OR(AND($A128="",$B128="",$C128="",$D128="",$E128="",$F128="",$G128="",$H128=""),NOT($S128="")),"",ROUND(ROUND($C128*($D128+$E128)/60*$B$5,9),2))</f>
        <v/>
      </c>
      <c r="K128" s="18" t="str">
        <f aca="false">IF(OR(AND($A128="",$B128="",$C128="",$D128="",$E128="",$F128="",$G128="",$H128=""),NOT($S128="")),"",ROUND(ROUND($C128*$F128*$B$6,9),2))</f>
        <v/>
      </c>
      <c r="L128" s="18" t="str">
        <f aca="false">IF(OR(AND($A128="",$B128="",$C128="",$D128="",$E128="",$F128="",$G128="",$H128=""),NOT($S128="")),"",ROUND(ROUND($C128*$G128,9),2))</f>
        <v/>
      </c>
      <c r="M128" s="19" t="str">
        <f aca="false">IF(OR(AND($A128="",$B128="",$C128="",$D128="",$E128="",$F128="",$G128="",$H128=""),NOT($S128="")),"",ROUND($J128+$K128+$L128+$H128,2))</f>
        <v/>
      </c>
      <c r="N128" s="19" t="str">
        <f aca="false">IF(OR(AND($A128="",$B128="",$C128="",$D128="",$E128="",$F128="",$G128="",$H128=""),NOT($S128="")),"",ROUND($B128-$M128,2))</f>
        <v/>
      </c>
      <c r="O128" s="20" t="str">
        <f aca="false">IF(OR(AND($A128="",$B128="",$C128="",$D128="",$E128="",$F128="",$G128="",$H128=""),NOT($S128="")),"",IF($B128=0,"n/a",INT(ROUND($N128/$B128*10000,6))/10000))</f>
        <v/>
      </c>
      <c r="P128" s="18" t="str">
        <f aca="false">IF(OR(AND($A128="",$B128="",$C128="",$D128="",$E128="",$F128="",$G128="",$H128=""),NOT($S128="")),"",ROUNDUP(ROUND($M128*10000/(10000-TargetH),9),2))</f>
        <v/>
      </c>
      <c r="Q128" s="18" t="str">
        <f aca="false">IF(OR(AND($A128="",$B128="",$C128="",$D128="",$E128="",$F128="",$G128="",$H128=""),NOT($S128="")),"",MAX(0,ROUND($P128-$B128,2)))</f>
        <v/>
      </c>
      <c r="R128" s="21" t="str">
        <f aca="false">IF(AND($A128="",$B128="",$C128="",$D128="",$E128="",$F128="",$G128="",$H128=""),"",IF(NOT($S128=""),"Check inputs",IF($B128=0,"No fee entered",IF($N128&lt;0,"Losing money on entered costs",IF(ROUND($N128*100,0)*10000&lt;TargetH*ROUND($B128*100,0),"Below your target","Meets your target")))))</f>
        <v/>
      </c>
      <c r="S128" s="22" t="str">
        <f aca="false">IF(AND($A128="",$B128="",$C128="",$D128="",$E128="",$F128="",$G128="",$H128=""),"",TRIM(IF($A128="","Customer/site label is missing. ","")&amp;IF($B128="","Monthly fee is missing. ",IF(NOT(ISNUMBER($B128)),"Monthly fee must be a number. ",IF($B128&lt;0,"Monthly fee can't be negative. ",IF(ROUND($B128,2)&lt;&gt;$B128,"Monthly fee: use up to 2 decimal places. ",IF($B128&gt;99999.99,"Monthly fee: use 99,999.99 or less. ","")))))&amp;IF($C128="","Visits per month is missing. ",IF(NOT(ISNUMBER($C128)),"Visits per month must be a number. ",IF($C128&lt;0,"Visits per month can't be negative. ",IF(ROUND($C128,3)&lt;&gt;$C128,"Visits per month: use up to 3 decimal places. ",IF($C128=0,"Visits per month must be more than 0. ",IF($C128&gt;31,"Visits per month: use 31 or less. ",""))))))&amp;IF($D128="","Service minutes per visit is missing. ",IF(NOT(ISNUMBER($D128)),"Service minutes per visit must be a number. ",IF($D128&lt;0,"Service minutes per visit can't be negative. ",IF(ROUND($D128,2)&lt;&gt;$D128,"Service minutes per visit: use up to 2 decimal places. ",IF($D128=0,"Service minutes per visit must be more than 0. ",IF($D128&gt;600,"Service minutes per visit: use 600 or less. ",""))))))&amp;IF($E128="","Drive minutes per visit is missing. ",IF(NOT(ISNUMBER($E128)),"Drive minutes per visit must be a number. ",IF($E128&lt;0,"Drive minutes per visit can't be negative. ",IF(ROUND($E128,2)&lt;&gt;$E128,"Drive minutes per visit: use up to 2 decimal places. ",IF($E128&gt;600,"Drive minutes per visit: use 600 or less. ","")))))&amp;IF($F128="","Drive miles per visit is missing. ",IF(NOT(ISNUMBER($F128)),"Drive miles per visit must be a number. ",IF($F128&lt;0,"Drive miles per visit can't be negative. ",IF(ROUND($F128,2)&lt;&gt;$F128,"Drive miles per visit: use up to 2 decimal places. ",IF($F128&gt;1000,"Drive miles per visit: use 1,000 or less. ","")))))&amp;IF($G128="","Chemicals per visit is missing. ",IF(NOT(ISNUMBER($G128)),"Chemicals per visit must be a number. ",IF($G128&lt;0,"Chemicals per visit can't be negative. ",IF(ROUND($G128,2)&lt;&gt;$G128,"Chemicals per visit: use up to 2 decimal places. ",IF($G128&gt;9999.99,"Chemicals per visit: use 9,999.99 or less. ","")))))&amp;IF($H128="","Other monthly costs is missing. ",IF(NOT(ISNUMBER($H128)),"Other monthly costs must be a number. ",IF($H128&lt;0,"Other monthly costs can't be negative. ",IF(ROUND($H128,2)&lt;&gt;$H128,"Other monthly costs: use up to 2 decimal places. ",IF($H128&gt;99999.99,"Other monthly costs: use 99,999.99 or less. ","")))))&amp;IF(SettingsOK,"","Settings incomplete.")))</f>
        <v/>
      </c>
      <c r="T128" s="23" t="str">
        <f aca="false">IF(AND($A128="",$B128="",$C128="",$D128="",$E128="",$F128="",$G128="",$H128=""),"",IF(Review!$B$5="Check inputs",IF($R128="Check inputs",ROW(),""),IF($R128="Check inputs",IF(Review!$B$5="All accounts",-2000000000000000+ROW(),""),IF(AND(Review!$B$5="Needs review",$R128="Meets your target"),"",IF($R128="No fee entered",-1000000000000000+ROW(),$N128/$B128+ROW()/1000000000)))))</f>
        <v/>
      </c>
    </row>
    <row r="129" customFormat="false" ht="15" hidden="false" customHeight="false" outlineLevel="0" collapsed="false">
      <c r="A129" s="14"/>
      <c r="B129" s="15"/>
      <c r="C129" s="16"/>
      <c r="D129" s="14"/>
      <c r="E129" s="14"/>
      <c r="F129" s="14"/>
      <c r="G129" s="15"/>
      <c r="H129" s="15"/>
      <c r="I129" s="17" t="str">
        <f aca="false">IF(OR(AND($A129="",$B129="",$C129="",$D129="",$E129="",$F129="",$G129="",$H129=""),NOT($S129="")),"",ROUND($C129*($D129+$E129)/60,4))</f>
        <v/>
      </c>
      <c r="J129" s="18" t="str">
        <f aca="false">IF(OR(AND($A129="",$B129="",$C129="",$D129="",$E129="",$F129="",$G129="",$H129=""),NOT($S129="")),"",ROUND(ROUND($C129*($D129+$E129)/60*$B$5,9),2))</f>
        <v/>
      </c>
      <c r="K129" s="18" t="str">
        <f aca="false">IF(OR(AND($A129="",$B129="",$C129="",$D129="",$E129="",$F129="",$G129="",$H129=""),NOT($S129="")),"",ROUND(ROUND($C129*$F129*$B$6,9),2))</f>
        <v/>
      </c>
      <c r="L129" s="18" t="str">
        <f aca="false">IF(OR(AND($A129="",$B129="",$C129="",$D129="",$E129="",$F129="",$G129="",$H129=""),NOT($S129="")),"",ROUND(ROUND($C129*$G129,9),2))</f>
        <v/>
      </c>
      <c r="M129" s="19" t="str">
        <f aca="false">IF(OR(AND($A129="",$B129="",$C129="",$D129="",$E129="",$F129="",$G129="",$H129=""),NOT($S129="")),"",ROUND($J129+$K129+$L129+$H129,2))</f>
        <v/>
      </c>
      <c r="N129" s="19" t="str">
        <f aca="false">IF(OR(AND($A129="",$B129="",$C129="",$D129="",$E129="",$F129="",$G129="",$H129=""),NOT($S129="")),"",ROUND($B129-$M129,2))</f>
        <v/>
      </c>
      <c r="O129" s="20" t="str">
        <f aca="false">IF(OR(AND($A129="",$B129="",$C129="",$D129="",$E129="",$F129="",$G129="",$H129=""),NOT($S129="")),"",IF($B129=0,"n/a",INT(ROUND($N129/$B129*10000,6))/10000))</f>
        <v/>
      </c>
      <c r="P129" s="18" t="str">
        <f aca="false">IF(OR(AND($A129="",$B129="",$C129="",$D129="",$E129="",$F129="",$G129="",$H129=""),NOT($S129="")),"",ROUNDUP(ROUND($M129*10000/(10000-TargetH),9),2))</f>
        <v/>
      </c>
      <c r="Q129" s="18" t="str">
        <f aca="false">IF(OR(AND($A129="",$B129="",$C129="",$D129="",$E129="",$F129="",$G129="",$H129=""),NOT($S129="")),"",MAX(0,ROUND($P129-$B129,2)))</f>
        <v/>
      </c>
      <c r="R129" s="21" t="str">
        <f aca="false">IF(AND($A129="",$B129="",$C129="",$D129="",$E129="",$F129="",$G129="",$H129=""),"",IF(NOT($S129=""),"Check inputs",IF($B129=0,"No fee entered",IF($N129&lt;0,"Losing money on entered costs",IF(ROUND($N129*100,0)*10000&lt;TargetH*ROUND($B129*100,0),"Below your target","Meets your target")))))</f>
        <v/>
      </c>
      <c r="S129" s="22" t="str">
        <f aca="false">IF(AND($A129="",$B129="",$C129="",$D129="",$E129="",$F129="",$G129="",$H129=""),"",TRIM(IF($A129="","Customer/site label is missing. ","")&amp;IF($B129="","Monthly fee is missing. ",IF(NOT(ISNUMBER($B129)),"Monthly fee must be a number. ",IF($B129&lt;0,"Monthly fee can't be negative. ",IF(ROUND($B129,2)&lt;&gt;$B129,"Monthly fee: use up to 2 decimal places. ",IF($B129&gt;99999.99,"Monthly fee: use 99,999.99 or less. ","")))))&amp;IF($C129="","Visits per month is missing. ",IF(NOT(ISNUMBER($C129)),"Visits per month must be a number. ",IF($C129&lt;0,"Visits per month can't be negative. ",IF(ROUND($C129,3)&lt;&gt;$C129,"Visits per month: use up to 3 decimal places. ",IF($C129=0,"Visits per month must be more than 0. ",IF($C129&gt;31,"Visits per month: use 31 or less. ",""))))))&amp;IF($D129="","Service minutes per visit is missing. ",IF(NOT(ISNUMBER($D129)),"Service minutes per visit must be a number. ",IF($D129&lt;0,"Service minutes per visit can't be negative. ",IF(ROUND($D129,2)&lt;&gt;$D129,"Service minutes per visit: use up to 2 decimal places. ",IF($D129=0,"Service minutes per visit must be more than 0. ",IF($D129&gt;600,"Service minutes per visit: use 600 or less. ",""))))))&amp;IF($E129="","Drive minutes per visit is missing. ",IF(NOT(ISNUMBER($E129)),"Drive minutes per visit must be a number. ",IF($E129&lt;0,"Drive minutes per visit can't be negative. ",IF(ROUND($E129,2)&lt;&gt;$E129,"Drive minutes per visit: use up to 2 decimal places. ",IF($E129&gt;600,"Drive minutes per visit: use 600 or less. ","")))))&amp;IF($F129="","Drive miles per visit is missing. ",IF(NOT(ISNUMBER($F129)),"Drive miles per visit must be a number. ",IF($F129&lt;0,"Drive miles per visit can't be negative. ",IF(ROUND($F129,2)&lt;&gt;$F129,"Drive miles per visit: use up to 2 decimal places. ",IF($F129&gt;1000,"Drive miles per visit: use 1,000 or less. ","")))))&amp;IF($G129="","Chemicals per visit is missing. ",IF(NOT(ISNUMBER($G129)),"Chemicals per visit must be a number. ",IF($G129&lt;0,"Chemicals per visit can't be negative. ",IF(ROUND($G129,2)&lt;&gt;$G129,"Chemicals per visit: use up to 2 decimal places. ",IF($G129&gt;9999.99,"Chemicals per visit: use 9,999.99 or less. ","")))))&amp;IF($H129="","Other monthly costs is missing. ",IF(NOT(ISNUMBER($H129)),"Other monthly costs must be a number. ",IF($H129&lt;0,"Other monthly costs can't be negative. ",IF(ROUND($H129,2)&lt;&gt;$H129,"Other monthly costs: use up to 2 decimal places. ",IF($H129&gt;99999.99,"Other monthly costs: use 99,999.99 or less. ","")))))&amp;IF(SettingsOK,"","Settings incomplete.")))</f>
        <v/>
      </c>
      <c r="T129" s="23" t="str">
        <f aca="false">IF(AND($A129="",$B129="",$C129="",$D129="",$E129="",$F129="",$G129="",$H129=""),"",IF(Review!$B$5="Check inputs",IF($R129="Check inputs",ROW(),""),IF($R129="Check inputs",IF(Review!$B$5="All accounts",-2000000000000000+ROW(),""),IF(AND(Review!$B$5="Needs review",$R129="Meets your target"),"",IF($R129="No fee entered",-1000000000000000+ROW(),$N129/$B129+ROW()/1000000000)))))</f>
        <v/>
      </c>
    </row>
    <row r="130" customFormat="false" ht="15" hidden="false" customHeight="false" outlineLevel="0" collapsed="false">
      <c r="A130" s="14"/>
      <c r="B130" s="15"/>
      <c r="C130" s="16"/>
      <c r="D130" s="14"/>
      <c r="E130" s="14"/>
      <c r="F130" s="14"/>
      <c r="G130" s="15"/>
      <c r="H130" s="15"/>
      <c r="I130" s="17" t="str">
        <f aca="false">IF(OR(AND($A130="",$B130="",$C130="",$D130="",$E130="",$F130="",$G130="",$H130=""),NOT($S130="")),"",ROUND($C130*($D130+$E130)/60,4))</f>
        <v/>
      </c>
      <c r="J130" s="18" t="str">
        <f aca="false">IF(OR(AND($A130="",$B130="",$C130="",$D130="",$E130="",$F130="",$G130="",$H130=""),NOT($S130="")),"",ROUND(ROUND($C130*($D130+$E130)/60*$B$5,9),2))</f>
        <v/>
      </c>
      <c r="K130" s="18" t="str">
        <f aca="false">IF(OR(AND($A130="",$B130="",$C130="",$D130="",$E130="",$F130="",$G130="",$H130=""),NOT($S130="")),"",ROUND(ROUND($C130*$F130*$B$6,9),2))</f>
        <v/>
      </c>
      <c r="L130" s="18" t="str">
        <f aca="false">IF(OR(AND($A130="",$B130="",$C130="",$D130="",$E130="",$F130="",$G130="",$H130=""),NOT($S130="")),"",ROUND(ROUND($C130*$G130,9),2))</f>
        <v/>
      </c>
      <c r="M130" s="19" t="str">
        <f aca="false">IF(OR(AND($A130="",$B130="",$C130="",$D130="",$E130="",$F130="",$G130="",$H130=""),NOT($S130="")),"",ROUND($J130+$K130+$L130+$H130,2))</f>
        <v/>
      </c>
      <c r="N130" s="19" t="str">
        <f aca="false">IF(OR(AND($A130="",$B130="",$C130="",$D130="",$E130="",$F130="",$G130="",$H130=""),NOT($S130="")),"",ROUND($B130-$M130,2))</f>
        <v/>
      </c>
      <c r="O130" s="20" t="str">
        <f aca="false">IF(OR(AND($A130="",$B130="",$C130="",$D130="",$E130="",$F130="",$G130="",$H130=""),NOT($S130="")),"",IF($B130=0,"n/a",INT(ROUND($N130/$B130*10000,6))/10000))</f>
        <v/>
      </c>
      <c r="P130" s="18" t="str">
        <f aca="false">IF(OR(AND($A130="",$B130="",$C130="",$D130="",$E130="",$F130="",$G130="",$H130=""),NOT($S130="")),"",ROUNDUP(ROUND($M130*10000/(10000-TargetH),9),2))</f>
        <v/>
      </c>
      <c r="Q130" s="18" t="str">
        <f aca="false">IF(OR(AND($A130="",$B130="",$C130="",$D130="",$E130="",$F130="",$G130="",$H130=""),NOT($S130="")),"",MAX(0,ROUND($P130-$B130,2)))</f>
        <v/>
      </c>
      <c r="R130" s="21" t="str">
        <f aca="false">IF(AND($A130="",$B130="",$C130="",$D130="",$E130="",$F130="",$G130="",$H130=""),"",IF(NOT($S130=""),"Check inputs",IF($B130=0,"No fee entered",IF($N130&lt;0,"Losing money on entered costs",IF(ROUND($N130*100,0)*10000&lt;TargetH*ROUND($B130*100,0),"Below your target","Meets your target")))))</f>
        <v/>
      </c>
      <c r="S130" s="22" t="str">
        <f aca="false">IF(AND($A130="",$B130="",$C130="",$D130="",$E130="",$F130="",$G130="",$H130=""),"",TRIM(IF($A130="","Customer/site label is missing. ","")&amp;IF($B130="","Monthly fee is missing. ",IF(NOT(ISNUMBER($B130)),"Monthly fee must be a number. ",IF($B130&lt;0,"Monthly fee can't be negative. ",IF(ROUND($B130,2)&lt;&gt;$B130,"Monthly fee: use up to 2 decimal places. ",IF($B130&gt;99999.99,"Monthly fee: use 99,999.99 or less. ","")))))&amp;IF($C130="","Visits per month is missing. ",IF(NOT(ISNUMBER($C130)),"Visits per month must be a number. ",IF($C130&lt;0,"Visits per month can't be negative. ",IF(ROUND($C130,3)&lt;&gt;$C130,"Visits per month: use up to 3 decimal places. ",IF($C130=0,"Visits per month must be more than 0. ",IF($C130&gt;31,"Visits per month: use 31 or less. ",""))))))&amp;IF($D130="","Service minutes per visit is missing. ",IF(NOT(ISNUMBER($D130)),"Service minutes per visit must be a number. ",IF($D130&lt;0,"Service minutes per visit can't be negative. ",IF(ROUND($D130,2)&lt;&gt;$D130,"Service minutes per visit: use up to 2 decimal places. ",IF($D130=0,"Service minutes per visit must be more than 0. ",IF($D130&gt;600,"Service minutes per visit: use 600 or less. ",""))))))&amp;IF($E130="","Drive minutes per visit is missing. ",IF(NOT(ISNUMBER($E130)),"Drive minutes per visit must be a number. ",IF($E130&lt;0,"Drive minutes per visit can't be negative. ",IF(ROUND($E130,2)&lt;&gt;$E130,"Drive minutes per visit: use up to 2 decimal places. ",IF($E130&gt;600,"Drive minutes per visit: use 600 or less. ","")))))&amp;IF($F130="","Drive miles per visit is missing. ",IF(NOT(ISNUMBER($F130)),"Drive miles per visit must be a number. ",IF($F130&lt;0,"Drive miles per visit can't be negative. ",IF(ROUND($F130,2)&lt;&gt;$F130,"Drive miles per visit: use up to 2 decimal places. ",IF($F130&gt;1000,"Drive miles per visit: use 1,000 or less. ","")))))&amp;IF($G130="","Chemicals per visit is missing. ",IF(NOT(ISNUMBER($G130)),"Chemicals per visit must be a number. ",IF($G130&lt;0,"Chemicals per visit can't be negative. ",IF(ROUND($G130,2)&lt;&gt;$G130,"Chemicals per visit: use up to 2 decimal places. ",IF($G130&gt;9999.99,"Chemicals per visit: use 9,999.99 or less. ","")))))&amp;IF($H130="","Other monthly costs is missing. ",IF(NOT(ISNUMBER($H130)),"Other monthly costs must be a number. ",IF($H130&lt;0,"Other monthly costs can't be negative. ",IF(ROUND($H130,2)&lt;&gt;$H130,"Other monthly costs: use up to 2 decimal places. ",IF($H130&gt;99999.99,"Other monthly costs: use 99,999.99 or less. ","")))))&amp;IF(SettingsOK,"","Settings incomplete.")))</f>
        <v/>
      </c>
      <c r="T130" s="23" t="str">
        <f aca="false">IF(AND($A130="",$B130="",$C130="",$D130="",$E130="",$F130="",$G130="",$H130=""),"",IF(Review!$B$5="Check inputs",IF($R130="Check inputs",ROW(),""),IF($R130="Check inputs",IF(Review!$B$5="All accounts",-2000000000000000+ROW(),""),IF(AND(Review!$B$5="Needs review",$R130="Meets your target"),"",IF($R130="No fee entered",-1000000000000000+ROW(),$N130/$B130+ROW()/1000000000)))))</f>
        <v/>
      </c>
    </row>
    <row r="131" customFormat="false" ht="15" hidden="false" customHeight="false" outlineLevel="0" collapsed="false">
      <c r="A131" s="14"/>
      <c r="B131" s="15"/>
      <c r="C131" s="16"/>
      <c r="D131" s="14"/>
      <c r="E131" s="14"/>
      <c r="F131" s="14"/>
      <c r="G131" s="15"/>
      <c r="H131" s="15"/>
      <c r="I131" s="17" t="str">
        <f aca="false">IF(OR(AND($A131="",$B131="",$C131="",$D131="",$E131="",$F131="",$G131="",$H131=""),NOT($S131="")),"",ROUND($C131*($D131+$E131)/60,4))</f>
        <v/>
      </c>
      <c r="J131" s="18" t="str">
        <f aca="false">IF(OR(AND($A131="",$B131="",$C131="",$D131="",$E131="",$F131="",$G131="",$H131=""),NOT($S131="")),"",ROUND(ROUND($C131*($D131+$E131)/60*$B$5,9),2))</f>
        <v/>
      </c>
      <c r="K131" s="18" t="str">
        <f aca="false">IF(OR(AND($A131="",$B131="",$C131="",$D131="",$E131="",$F131="",$G131="",$H131=""),NOT($S131="")),"",ROUND(ROUND($C131*$F131*$B$6,9),2))</f>
        <v/>
      </c>
      <c r="L131" s="18" t="str">
        <f aca="false">IF(OR(AND($A131="",$B131="",$C131="",$D131="",$E131="",$F131="",$G131="",$H131=""),NOT($S131="")),"",ROUND(ROUND($C131*$G131,9),2))</f>
        <v/>
      </c>
      <c r="M131" s="19" t="str">
        <f aca="false">IF(OR(AND($A131="",$B131="",$C131="",$D131="",$E131="",$F131="",$G131="",$H131=""),NOT($S131="")),"",ROUND($J131+$K131+$L131+$H131,2))</f>
        <v/>
      </c>
      <c r="N131" s="19" t="str">
        <f aca="false">IF(OR(AND($A131="",$B131="",$C131="",$D131="",$E131="",$F131="",$G131="",$H131=""),NOT($S131="")),"",ROUND($B131-$M131,2))</f>
        <v/>
      </c>
      <c r="O131" s="20" t="str">
        <f aca="false">IF(OR(AND($A131="",$B131="",$C131="",$D131="",$E131="",$F131="",$G131="",$H131=""),NOT($S131="")),"",IF($B131=0,"n/a",INT(ROUND($N131/$B131*10000,6))/10000))</f>
        <v/>
      </c>
      <c r="P131" s="18" t="str">
        <f aca="false">IF(OR(AND($A131="",$B131="",$C131="",$D131="",$E131="",$F131="",$G131="",$H131=""),NOT($S131="")),"",ROUNDUP(ROUND($M131*10000/(10000-TargetH),9),2))</f>
        <v/>
      </c>
      <c r="Q131" s="18" t="str">
        <f aca="false">IF(OR(AND($A131="",$B131="",$C131="",$D131="",$E131="",$F131="",$G131="",$H131=""),NOT($S131="")),"",MAX(0,ROUND($P131-$B131,2)))</f>
        <v/>
      </c>
      <c r="R131" s="21" t="str">
        <f aca="false">IF(AND($A131="",$B131="",$C131="",$D131="",$E131="",$F131="",$G131="",$H131=""),"",IF(NOT($S131=""),"Check inputs",IF($B131=0,"No fee entered",IF($N131&lt;0,"Losing money on entered costs",IF(ROUND($N131*100,0)*10000&lt;TargetH*ROUND($B131*100,0),"Below your target","Meets your target")))))</f>
        <v/>
      </c>
      <c r="S131" s="22" t="str">
        <f aca="false">IF(AND($A131="",$B131="",$C131="",$D131="",$E131="",$F131="",$G131="",$H131=""),"",TRIM(IF($A131="","Customer/site label is missing. ","")&amp;IF($B131="","Monthly fee is missing. ",IF(NOT(ISNUMBER($B131)),"Monthly fee must be a number. ",IF($B131&lt;0,"Monthly fee can't be negative. ",IF(ROUND($B131,2)&lt;&gt;$B131,"Monthly fee: use up to 2 decimal places. ",IF($B131&gt;99999.99,"Monthly fee: use 99,999.99 or less. ","")))))&amp;IF($C131="","Visits per month is missing. ",IF(NOT(ISNUMBER($C131)),"Visits per month must be a number. ",IF($C131&lt;0,"Visits per month can't be negative. ",IF(ROUND($C131,3)&lt;&gt;$C131,"Visits per month: use up to 3 decimal places. ",IF($C131=0,"Visits per month must be more than 0. ",IF($C131&gt;31,"Visits per month: use 31 or less. ",""))))))&amp;IF($D131="","Service minutes per visit is missing. ",IF(NOT(ISNUMBER($D131)),"Service minutes per visit must be a number. ",IF($D131&lt;0,"Service minutes per visit can't be negative. ",IF(ROUND($D131,2)&lt;&gt;$D131,"Service minutes per visit: use up to 2 decimal places. ",IF($D131=0,"Service minutes per visit must be more than 0. ",IF($D131&gt;600,"Service minutes per visit: use 600 or less. ",""))))))&amp;IF($E131="","Drive minutes per visit is missing. ",IF(NOT(ISNUMBER($E131)),"Drive minutes per visit must be a number. ",IF($E131&lt;0,"Drive minutes per visit can't be negative. ",IF(ROUND($E131,2)&lt;&gt;$E131,"Drive minutes per visit: use up to 2 decimal places. ",IF($E131&gt;600,"Drive minutes per visit: use 600 or less. ","")))))&amp;IF($F131="","Drive miles per visit is missing. ",IF(NOT(ISNUMBER($F131)),"Drive miles per visit must be a number. ",IF($F131&lt;0,"Drive miles per visit can't be negative. ",IF(ROUND($F131,2)&lt;&gt;$F131,"Drive miles per visit: use up to 2 decimal places. ",IF($F131&gt;1000,"Drive miles per visit: use 1,000 or less. ","")))))&amp;IF($G131="","Chemicals per visit is missing. ",IF(NOT(ISNUMBER($G131)),"Chemicals per visit must be a number. ",IF($G131&lt;0,"Chemicals per visit can't be negative. ",IF(ROUND($G131,2)&lt;&gt;$G131,"Chemicals per visit: use up to 2 decimal places. ",IF($G131&gt;9999.99,"Chemicals per visit: use 9,999.99 or less. ","")))))&amp;IF($H131="","Other monthly costs is missing. ",IF(NOT(ISNUMBER($H131)),"Other monthly costs must be a number. ",IF($H131&lt;0,"Other monthly costs can't be negative. ",IF(ROUND($H131,2)&lt;&gt;$H131,"Other monthly costs: use up to 2 decimal places. ",IF($H131&gt;99999.99,"Other monthly costs: use 99,999.99 or less. ","")))))&amp;IF(SettingsOK,"","Settings incomplete.")))</f>
        <v/>
      </c>
      <c r="T131" s="23" t="str">
        <f aca="false">IF(AND($A131="",$B131="",$C131="",$D131="",$E131="",$F131="",$G131="",$H131=""),"",IF(Review!$B$5="Check inputs",IF($R131="Check inputs",ROW(),""),IF($R131="Check inputs",IF(Review!$B$5="All accounts",-2000000000000000+ROW(),""),IF(AND(Review!$B$5="Needs review",$R131="Meets your target"),"",IF($R131="No fee entered",-1000000000000000+ROW(),$N131/$B131+ROW()/1000000000)))))</f>
        <v/>
      </c>
    </row>
    <row r="132" customFormat="false" ht="15" hidden="false" customHeight="false" outlineLevel="0" collapsed="false">
      <c r="A132" s="14"/>
      <c r="B132" s="15"/>
      <c r="C132" s="16"/>
      <c r="D132" s="14"/>
      <c r="E132" s="14"/>
      <c r="F132" s="14"/>
      <c r="G132" s="15"/>
      <c r="H132" s="15"/>
      <c r="I132" s="17" t="str">
        <f aca="false">IF(OR(AND($A132="",$B132="",$C132="",$D132="",$E132="",$F132="",$G132="",$H132=""),NOT($S132="")),"",ROUND($C132*($D132+$E132)/60,4))</f>
        <v/>
      </c>
      <c r="J132" s="18" t="str">
        <f aca="false">IF(OR(AND($A132="",$B132="",$C132="",$D132="",$E132="",$F132="",$G132="",$H132=""),NOT($S132="")),"",ROUND(ROUND($C132*($D132+$E132)/60*$B$5,9),2))</f>
        <v/>
      </c>
      <c r="K132" s="18" t="str">
        <f aca="false">IF(OR(AND($A132="",$B132="",$C132="",$D132="",$E132="",$F132="",$G132="",$H132=""),NOT($S132="")),"",ROUND(ROUND($C132*$F132*$B$6,9),2))</f>
        <v/>
      </c>
      <c r="L132" s="18" t="str">
        <f aca="false">IF(OR(AND($A132="",$B132="",$C132="",$D132="",$E132="",$F132="",$G132="",$H132=""),NOT($S132="")),"",ROUND(ROUND($C132*$G132,9),2))</f>
        <v/>
      </c>
      <c r="M132" s="19" t="str">
        <f aca="false">IF(OR(AND($A132="",$B132="",$C132="",$D132="",$E132="",$F132="",$G132="",$H132=""),NOT($S132="")),"",ROUND($J132+$K132+$L132+$H132,2))</f>
        <v/>
      </c>
      <c r="N132" s="19" t="str">
        <f aca="false">IF(OR(AND($A132="",$B132="",$C132="",$D132="",$E132="",$F132="",$G132="",$H132=""),NOT($S132="")),"",ROUND($B132-$M132,2))</f>
        <v/>
      </c>
      <c r="O132" s="20" t="str">
        <f aca="false">IF(OR(AND($A132="",$B132="",$C132="",$D132="",$E132="",$F132="",$G132="",$H132=""),NOT($S132="")),"",IF($B132=0,"n/a",INT(ROUND($N132/$B132*10000,6))/10000))</f>
        <v/>
      </c>
      <c r="P132" s="18" t="str">
        <f aca="false">IF(OR(AND($A132="",$B132="",$C132="",$D132="",$E132="",$F132="",$G132="",$H132=""),NOT($S132="")),"",ROUNDUP(ROUND($M132*10000/(10000-TargetH),9),2))</f>
        <v/>
      </c>
      <c r="Q132" s="18" t="str">
        <f aca="false">IF(OR(AND($A132="",$B132="",$C132="",$D132="",$E132="",$F132="",$G132="",$H132=""),NOT($S132="")),"",MAX(0,ROUND($P132-$B132,2)))</f>
        <v/>
      </c>
      <c r="R132" s="21" t="str">
        <f aca="false">IF(AND($A132="",$B132="",$C132="",$D132="",$E132="",$F132="",$G132="",$H132=""),"",IF(NOT($S132=""),"Check inputs",IF($B132=0,"No fee entered",IF($N132&lt;0,"Losing money on entered costs",IF(ROUND($N132*100,0)*10000&lt;TargetH*ROUND($B132*100,0),"Below your target","Meets your target")))))</f>
        <v/>
      </c>
      <c r="S132" s="22" t="str">
        <f aca="false">IF(AND($A132="",$B132="",$C132="",$D132="",$E132="",$F132="",$G132="",$H132=""),"",TRIM(IF($A132="","Customer/site label is missing. ","")&amp;IF($B132="","Monthly fee is missing. ",IF(NOT(ISNUMBER($B132)),"Monthly fee must be a number. ",IF($B132&lt;0,"Monthly fee can't be negative. ",IF(ROUND($B132,2)&lt;&gt;$B132,"Monthly fee: use up to 2 decimal places. ",IF($B132&gt;99999.99,"Monthly fee: use 99,999.99 or less. ","")))))&amp;IF($C132="","Visits per month is missing. ",IF(NOT(ISNUMBER($C132)),"Visits per month must be a number. ",IF($C132&lt;0,"Visits per month can't be negative. ",IF(ROUND($C132,3)&lt;&gt;$C132,"Visits per month: use up to 3 decimal places. ",IF($C132=0,"Visits per month must be more than 0. ",IF($C132&gt;31,"Visits per month: use 31 or less. ",""))))))&amp;IF($D132="","Service minutes per visit is missing. ",IF(NOT(ISNUMBER($D132)),"Service minutes per visit must be a number. ",IF($D132&lt;0,"Service minutes per visit can't be negative. ",IF(ROUND($D132,2)&lt;&gt;$D132,"Service minutes per visit: use up to 2 decimal places. ",IF($D132=0,"Service minutes per visit must be more than 0. ",IF($D132&gt;600,"Service minutes per visit: use 600 or less. ",""))))))&amp;IF($E132="","Drive minutes per visit is missing. ",IF(NOT(ISNUMBER($E132)),"Drive minutes per visit must be a number. ",IF($E132&lt;0,"Drive minutes per visit can't be negative. ",IF(ROUND($E132,2)&lt;&gt;$E132,"Drive minutes per visit: use up to 2 decimal places. ",IF($E132&gt;600,"Drive minutes per visit: use 600 or less. ","")))))&amp;IF($F132="","Drive miles per visit is missing. ",IF(NOT(ISNUMBER($F132)),"Drive miles per visit must be a number. ",IF($F132&lt;0,"Drive miles per visit can't be negative. ",IF(ROUND($F132,2)&lt;&gt;$F132,"Drive miles per visit: use up to 2 decimal places. ",IF($F132&gt;1000,"Drive miles per visit: use 1,000 or less. ","")))))&amp;IF($G132="","Chemicals per visit is missing. ",IF(NOT(ISNUMBER($G132)),"Chemicals per visit must be a number. ",IF($G132&lt;0,"Chemicals per visit can't be negative. ",IF(ROUND($G132,2)&lt;&gt;$G132,"Chemicals per visit: use up to 2 decimal places. ",IF($G132&gt;9999.99,"Chemicals per visit: use 9,999.99 or less. ","")))))&amp;IF($H132="","Other monthly costs is missing. ",IF(NOT(ISNUMBER($H132)),"Other monthly costs must be a number. ",IF($H132&lt;0,"Other monthly costs can't be negative. ",IF(ROUND($H132,2)&lt;&gt;$H132,"Other monthly costs: use up to 2 decimal places. ",IF($H132&gt;99999.99,"Other monthly costs: use 99,999.99 or less. ","")))))&amp;IF(SettingsOK,"","Settings incomplete.")))</f>
        <v/>
      </c>
      <c r="T132" s="23" t="str">
        <f aca="false">IF(AND($A132="",$B132="",$C132="",$D132="",$E132="",$F132="",$G132="",$H132=""),"",IF(Review!$B$5="Check inputs",IF($R132="Check inputs",ROW(),""),IF($R132="Check inputs",IF(Review!$B$5="All accounts",-2000000000000000+ROW(),""),IF(AND(Review!$B$5="Needs review",$R132="Meets your target"),"",IF($R132="No fee entered",-1000000000000000+ROW(),$N132/$B132+ROW()/1000000000)))))</f>
        <v/>
      </c>
    </row>
    <row r="133" customFormat="false" ht="15" hidden="false" customHeight="false" outlineLevel="0" collapsed="false">
      <c r="A133" s="14"/>
      <c r="B133" s="15"/>
      <c r="C133" s="16"/>
      <c r="D133" s="14"/>
      <c r="E133" s="14"/>
      <c r="F133" s="14"/>
      <c r="G133" s="15"/>
      <c r="H133" s="15"/>
      <c r="I133" s="17" t="str">
        <f aca="false">IF(OR(AND($A133="",$B133="",$C133="",$D133="",$E133="",$F133="",$G133="",$H133=""),NOT($S133="")),"",ROUND($C133*($D133+$E133)/60,4))</f>
        <v/>
      </c>
      <c r="J133" s="18" t="str">
        <f aca="false">IF(OR(AND($A133="",$B133="",$C133="",$D133="",$E133="",$F133="",$G133="",$H133=""),NOT($S133="")),"",ROUND(ROUND($C133*($D133+$E133)/60*$B$5,9),2))</f>
        <v/>
      </c>
      <c r="K133" s="18" t="str">
        <f aca="false">IF(OR(AND($A133="",$B133="",$C133="",$D133="",$E133="",$F133="",$G133="",$H133=""),NOT($S133="")),"",ROUND(ROUND($C133*$F133*$B$6,9),2))</f>
        <v/>
      </c>
      <c r="L133" s="18" t="str">
        <f aca="false">IF(OR(AND($A133="",$B133="",$C133="",$D133="",$E133="",$F133="",$G133="",$H133=""),NOT($S133="")),"",ROUND(ROUND($C133*$G133,9),2))</f>
        <v/>
      </c>
      <c r="M133" s="19" t="str">
        <f aca="false">IF(OR(AND($A133="",$B133="",$C133="",$D133="",$E133="",$F133="",$G133="",$H133=""),NOT($S133="")),"",ROUND($J133+$K133+$L133+$H133,2))</f>
        <v/>
      </c>
      <c r="N133" s="19" t="str">
        <f aca="false">IF(OR(AND($A133="",$B133="",$C133="",$D133="",$E133="",$F133="",$G133="",$H133=""),NOT($S133="")),"",ROUND($B133-$M133,2))</f>
        <v/>
      </c>
      <c r="O133" s="20" t="str">
        <f aca="false">IF(OR(AND($A133="",$B133="",$C133="",$D133="",$E133="",$F133="",$G133="",$H133=""),NOT($S133="")),"",IF($B133=0,"n/a",INT(ROUND($N133/$B133*10000,6))/10000))</f>
        <v/>
      </c>
      <c r="P133" s="18" t="str">
        <f aca="false">IF(OR(AND($A133="",$B133="",$C133="",$D133="",$E133="",$F133="",$G133="",$H133=""),NOT($S133="")),"",ROUNDUP(ROUND($M133*10000/(10000-TargetH),9),2))</f>
        <v/>
      </c>
      <c r="Q133" s="18" t="str">
        <f aca="false">IF(OR(AND($A133="",$B133="",$C133="",$D133="",$E133="",$F133="",$G133="",$H133=""),NOT($S133="")),"",MAX(0,ROUND($P133-$B133,2)))</f>
        <v/>
      </c>
      <c r="R133" s="21" t="str">
        <f aca="false">IF(AND($A133="",$B133="",$C133="",$D133="",$E133="",$F133="",$G133="",$H133=""),"",IF(NOT($S133=""),"Check inputs",IF($B133=0,"No fee entered",IF($N133&lt;0,"Losing money on entered costs",IF(ROUND($N133*100,0)*10000&lt;TargetH*ROUND($B133*100,0),"Below your target","Meets your target")))))</f>
        <v/>
      </c>
      <c r="S133" s="22" t="str">
        <f aca="false">IF(AND($A133="",$B133="",$C133="",$D133="",$E133="",$F133="",$G133="",$H133=""),"",TRIM(IF($A133="","Customer/site label is missing. ","")&amp;IF($B133="","Monthly fee is missing. ",IF(NOT(ISNUMBER($B133)),"Monthly fee must be a number. ",IF($B133&lt;0,"Monthly fee can't be negative. ",IF(ROUND($B133,2)&lt;&gt;$B133,"Monthly fee: use up to 2 decimal places. ",IF($B133&gt;99999.99,"Monthly fee: use 99,999.99 or less. ","")))))&amp;IF($C133="","Visits per month is missing. ",IF(NOT(ISNUMBER($C133)),"Visits per month must be a number. ",IF($C133&lt;0,"Visits per month can't be negative. ",IF(ROUND($C133,3)&lt;&gt;$C133,"Visits per month: use up to 3 decimal places. ",IF($C133=0,"Visits per month must be more than 0. ",IF($C133&gt;31,"Visits per month: use 31 or less. ",""))))))&amp;IF($D133="","Service minutes per visit is missing. ",IF(NOT(ISNUMBER($D133)),"Service minutes per visit must be a number. ",IF($D133&lt;0,"Service minutes per visit can't be negative. ",IF(ROUND($D133,2)&lt;&gt;$D133,"Service minutes per visit: use up to 2 decimal places. ",IF($D133=0,"Service minutes per visit must be more than 0. ",IF($D133&gt;600,"Service minutes per visit: use 600 or less. ",""))))))&amp;IF($E133="","Drive minutes per visit is missing. ",IF(NOT(ISNUMBER($E133)),"Drive minutes per visit must be a number. ",IF($E133&lt;0,"Drive minutes per visit can't be negative. ",IF(ROUND($E133,2)&lt;&gt;$E133,"Drive minutes per visit: use up to 2 decimal places. ",IF($E133&gt;600,"Drive minutes per visit: use 600 or less. ","")))))&amp;IF($F133="","Drive miles per visit is missing. ",IF(NOT(ISNUMBER($F133)),"Drive miles per visit must be a number. ",IF($F133&lt;0,"Drive miles per visit can't be negative. ",IF(ROUND($F133,2)&lt;&gt;$F133,"Drive miles per visit: use up to 2 decimal places. ",IF($F133&gt;1000,"Drive miles per visit: use 1,000 or less. ","")))))&amp;IF($G133="","Chemicals per visit is missing. ",IF(NOT(ISNUMBER($G133)),"Chemicals per visit must be a number. ",IF($G133&lt;0,"Chemicals per visit can't be negative. ",IF(ROUND($G133,2)&lt;&gt;$G133,"Chemicals per visit: use up to 2 decimal places. ",IF($G133&gt;9999.99,"Chemicals per visit: use 9,999.99 or less. ","")))))&amp;IF($H133="","Other monthly costs is missing. ",IF(NOT(ISNUMBER($H133)),"Other monthly costs must be a number. ",IF($H133&lt;0,"Other monthly costs can't be negative. ",IF(ROUND($H133,2)&lt;&gt;$H133,"Other monthly costs: use up to 2 decimal places. ",IF($H133&gt;99999.99,"Other monthly costs: use 99,999.99 or less. ","")))))&amp;IF(SettingsOK,"","Settings incomplete.")))</f>
        <v/>
      </c>
      <c r="T133" s="23" t="str">
        <f aca="false">IF(AND($A133="",$B133="",$C133="",$D133="",$E133="",$F133="",$G133="",$H133=""),"",IF(Review!$B$5="Check inputs",IF($R133="Check inputs",ROW(),""),IF($R133="Check inputs",IF(Review!$B$5="All accounts",-2000000000000000+ROW(),""),IF(AND(Review!$B$5="Needs review",$R133="Meets your target"),"",IF($R133="No fee entered",-1000000000000000+ROW(),$N133/$B133+ROW()/1000000000)))))</f>
        <v/>
      </c>
    </row>
    <row r="134" customFormat="false" ht="15" hidden="false" customHeight="false" outlineLevel="0" collapsed="false">
      <c r="A134" s="14"/>
      <c r="B134" s="15"/>
      <c r="C134" s="16"/>
      <c r="D134" s="14"/>
      <c r="E134" s="14"/>
      <c r="F134" s="14"/>
      <c r="G134" s="15"/>
      <c r="H134" s="15"/>
      <c r="I134" s="17" t="str">
        <f aca="false">IF(OR(AND($A134="",$B134="",$C134="",$D134="",$E134="",$F134="",$G134="",$H134=""),NOT($S134="")),"",ROUND($C134*($D134+$E134)/60,4))</f>
        <v/>
      </c>
      <c r="J134" s="18" t="str">
        <f aca="false">IF(OR(AND($A134="",$B134="",$C134="",$D134="",$E134="",$F134="",$G134="",$H134=""),NOT($S134="")),"",ROUND(ROUND($C134*($D134+$E134)/60*$B$5,9),2))</f>
        <v/>
      </c>
      <c r="K134" s="18" t="str">
        <f aca="false">IF(OR(AND($A134="",$B134="",$C134="",$D134="",$E134="",$F134="",$G134="",$H134=""),NOT($S134="")),"",ROUND(ROUND($C134*$F134*$B$6,9),2))</f>
        <v/>
      </c>
      <c r="L134" s="18" t="str">
        <f aca="false">IF(OR(AND($A134="",$B134="",$C134="",$D134="",$E134="",$F134="",$G134="",$H134=""),NOT($S134="")),"",ROUND(ROUND($C134*$G134,9),2))</f>
        <v/>
      </c>
      <c r="M134" s="19" t="str">
        <f aca="false">IF(OR(AND($A134="",$B134="",$C134="",$D134="",$E134="",$F134="",$G134="",$H134=""),NOT($S134="")),"",ROUND($J134+$K134+$L134+$H134,2))</f>
        <v/>
      </c>
      <c r="N134" s="19" t="str">
        <f aca="false">IF(OR(AND($A134="",$B134="",$C134="",$D134="",$E134="",$F134="",$G134="",$H134=""),NOT($S134="")),"",ROUND($B134-$M134,2))</f>
        <v/>
      </c>
      <c r="O134" s="20" t="str">
        <f aca="false">IF(OR(AND($A134="",$B134="",$C134="",$D134="",$E134="",$F134="",$G134="",$H134=""),NOT($S134="")),"",IF($B134=0,"n/a",INT(ROUND($N134/$B134*10000,6))/10000))</f>
        <v/>
      </c>
      <c r="P134" s="18" t="str">
        <f aca="false">IF(OR(AND($A134="",$B134="",$C134="",$D134="",$E134="",$F134="",$G134="",$H134=""),NOT($S134="")),"",ROUNDUP(ROUND($M134*10000/(10000-TargetH),9),2))</f>
        <v/>
      </c>
      <c r="Q134" s="18" t="str">
        <f aca="false">IF(OR(AND($A134="",$B134="",$C134="",$D134="",$E134="",$F134="",$G134="",$H134=""),NOT($S134="")),"",MAX(0,ROUND($P134-$B134,2)))</f>
        <v/>
      </c>
      <c r="R134" s="21" t="str">
        <f aca="false">IF(AND($A134="",$B134="",$C134="",$D134="",$E134="",$F134="",$G134="",$H134=""),"",IF(NOT($S134=""),"Check inputs",IF($B134=0,"No fee entered",IF($N134&lt;0,"Losing money on entered costs",IF(ROUND($N134*100,0)*10000&lt;TargetH*ROUND($B134*100,0),"Below your target","Meets your target")))))</f>
        <v/>
      </c>
      <c r="S134" s="22" t="str">
        <f aca="false">IF(AND($A134="",$B134="",$C134="",$D134="",$E134="",$F134="",$G134="",$H134=""),"",TRIM(IF($A134="","Customer/site label is missing. ","")&amp;IF($B134="","Monthly fee is missing. ",IF(NOT(ISNUMBER($B134)),"Monthly fee must be a number. ",IF($B134&lt;0,"Monthly fee can't be negative. ",IF(ROUND($B134,2)&lt;&gt;$B134,"Monthly fee: use up to 2 decimal places. ",IF($B134&gt;99999.99,"Monthly fee: use 99,999.99 or less. ","")))))&amp;IF($C134="","Visits per month is missing. ",IF(NOT(ISNUMBER($C134)),"Visits per month must be a number. ",IF($C134&lt;0,"Visits per month can't be negative. ",IF(ROUND($C134,3)&lt;&gt;$C134,"Visits per month: use up to 3 decimal places. ",IF($C134=0,"Visits per month must be more than 0. ",IF($C134&gt;31,"Visits per month: use 31 or less. ",""))))))&amp;IF($D134="","Service minutes per visit is missing. ",IF(NOT(ISNUMBER($D134)),"Service minutes per visit must be a number. ",IF($D134&lt;0,"Service minutes per visit can't be negative. ",IF(ROUND($D134,2)&lt;&gt;$D134,"Service minutes per visit: use up to 2 decimal places. ",IF($D134=0,"Service minutes per visit must be more than 0. ",IF($D134&gt;600,"Service minutes per visit: use 600 or less. ",""))))))&amp;IF($E134="","Drive minutes per visit is missing. ",IF(NOT(ISNUMBER($E134)),"Drive minutes per visit must be a number. ",IF($E134&lt;0,"Drive minutes per visit can't be negative. ",IF(ROUND($E134,2)&lt;&gt;$E134,"Drive minutes per visit: use up to 2 decimal places. ",IF($E134&gt;600,"Drive minutes per visit: use 600 or less. ","")))))&amp;IF($F134="","Drive miles per visit is missing. ",IF(NOT(ISNUMBER($F134)),"Drive miles per visit must be a number. ",IF($F134&lt;0,"Drive miles per visit can't be negative. ",IF(ROUND($F134,2)&lt;&gt;$F134,"Drive miles per visit: use up to 2 decimal places. ",IF($F134&gt;1000,"Drive miles per visit: use 1,000 or less. ","")))))&amp;IF($G134="","Chemicals per visit is missing. ",IF(NOT(ISNUMBER($G134)),"Chemicals per visit must be a number. ",IF($G134&lt;0,"Chemicals per visit can't be negative. ",IF(ROUND($G134,2)&lt;&gt;$G134,"Chemicals per visit: use up to 2 decimal places. ",IF($G134&gt;9999.99,"Chemicals per visit: use 9,999.99 or less. ","")))))&amp;IF($H134="","Other monthly costs is missing. ",IF(NOT(ISNUMBER($H134)),"Other monthly costs must be a number. ",IF($H134&lt;0,"Other monthly costs can't be negative. ",IF(ROUND($H134,2)&lt;&gt;$H134,"Other monthly costs: use up to 2 decimal places. ",IF($H134&gt;99999.99,"Other monthly costs: use 99,999.99 or less. ","")))))&amp;IF(SettingsOK,"","Settings incomplete.")))</f>
        <v/>
      </c>
      <c r="T134" s="23" t="str">
        <f aca="false">IF(AND($A134="",$B134="",$C134="",$D134="",$E134="",$F134="",$G134="",$H134=""),"",IF(Review!$B$5="Check inputs",IF($R134="Check inputs",ROW(),""),IF($R134="Check inputs",IF(Review!$B$5="All accounts",-2000000000000000+ROW(),""),IF(AND(Review!$B$5="Needs review",$R134="Meets your target"),"",IF($R134="No fee entered",-1000000000000000+ROW(),$N134/$B134+ROW()/1000000000)))))</f>
        <v/>
      </c>
    </row>
    <row r="135" customFormat="false" ht="15" hidden="false" customHeight="false" outlineLevel="0" collapsed="false">
      <c r="A135" s="14"/>
      <c r="B135" s="15"/>
      <c r="C135" s="16"/>
      <c r="D135" s="14"/>
      <c r="E135" s="14"/>
      <c r="F135" s="14"/>
      <c r="G135" s="15"/>
      <c r="H135" s="15"/>
      <c r="I135" s="17" t="str">
        <f aca="false">IF(OR(AND($A135="",$B135="",$C135="",$D135="",$E135="",$F135="",$G135="",$H135=""),NOT($S135="")),"",ROUND($C135*($D135+$E135)/60,4))</f>
        <v/>
      </c>
      <c r="J135" s="18" t="str">
        <f aca="false">IF(OR(AND($A135="",$B135="",$C135="",$D135="",$E135="",$F135="",$G135="",$H135=""),NOT($S135="")),"",ROUND(ROUND($C135*($D135+$E135)/60*$B$5,9),2))</f>
        <v/>
      </c>
      <c r="K135" s="18" t="str">
        <f aca="false">IF(OR(AND($A135="",$B135="",$C135="",$D135="",$E135="",$F135="",$G135="",$H135=""),NOT($S135="")),"",ROUND(ROUND($C135*$F135*$B$6,9),2))</f>
        <v/>
      </c>
      <c r="L135" s="18" t="str">
        <f aca="false">IF(OR(AND($A135="",$B135="",$C135="",$D135="",$E135="",$F135="",$G135="",$H135=""),NOT($S135="")),"",ROUND(ROUND($C135*$G135,9),2))</f>
        <v/>
      </c>
      <c r="M135" s="19" t="str">
        <f aca="false">IF(OR(AND($A135="",$B135="",$C135="",$D135="",$E135="",$F135="",$G135="",$H135=""),NOT($S135="")),"",ROUND($J135+$K135+$L135+$H135,2))</f>
        <v/>
      </c>
      <c r="N135" s="19" t="str">
        <f aca="false">IF(OR(AND($A135="",$B135="",$C135="",$D135="",$E135="",$F135="",$G135="",$H135=""),NOT($S135="")),"",ROUND($B135-$M135,2))</f>
        <v/>
      </c>
      <c r="O135" s="20" t="str">
        <f aca="false">IF(OR(AND($A135="",$B135="",$C135="",$D135="",$E135="",$F135="",$G135="",$H135=""),NOT($S135="")),"",IF($B135=0,"n/a",INT(ROUND($N135/$B135*10000,6))/10000))</f>
        <v/>
      </c>
      <c r="P135" s="18" t="str">
        <f aca="false">IF(OR(AND($A135="",$B135="",$C135="",$D135="",$E135="",$F135="",$G135="",$H135=""),NOT($S135="")),"",ROUNDUP(ROUND($M135*10000/(10000-TargetH),9),2))</f>
        <v/>
      </c>
      <c r="Q135" s="18" t="str">
        <f aca="false">IF(OR(AND($A135="",$B135="",$C135="",$D135="",$E135="",$F135="",$G135="",$H135=""),NOT($S135="")),"",MAX(0,ROUND($P135-$B135,2)))</f>
        <v/>
      </c>
      <c r="R135" s="21" t="str">
        <f aca="false">IF(AND($A135="",$B135="",$C135="",$D135="",$E135="",$F135="",$G135="",$H135=""),"",IF(NOT($S135=""),"Check inputs",IF($B135=0,"No fee entered",IF($N135&lt;0,"Losing money on entered costs",IF(ROUND($N135*100,0)*10000&lt;TargetH*ROUND($B135*100,0),"Below your target","Meets your target")))))</f>
        <v/>
      </c>
      <c r="S135" s="22" t="str">
        <f aca="false">IF(AND($A135="",$B135="",$C135="",$D135="",$E135="",$F135="",$G135="",$H135=""),"",TRIM(IF($A135="","Customer/site label is missing. ","")&amp;IF($B135="","Monthly fee is missing. ",IF(NOT(ISNUMBER($B135)),"Monthly fee must be a number. ",IF($B135&lt;0,"Monthly fee can't be negative. ",IF(ROUND($B135,2)&lt;&gt;$B135,"Monthly fee: use up to 2 decimal places. ",IF($B135&gt;99999.99,"Monthly fee: use 99,999.99 or less. ","")))))&amp;IF($C135="","Visits per month is missing. ",IF(NOT(ISNUMBER($C135)),"Visits per month must be a number. ",IF($C135&lt;0,"Visits per month can't be negative. ",IF(ROUND($C135,3)&lt;&gt;$C135,"Visits per month: use up to 3 decimal places. ",IF($C135=0,"Visits per month must be more than 0. ",IF($C135&gt;31,"Visits per month: use 31 or less. ",""))))))&amp;IF($D135="","Service minutes per visit is missing. ",IF(NOT(ISNUMBER($D135)),"Service minutes per visit must be a number. ",IF($D135&lt;0,"Service minutes per visit can't be negative. ",IF(ROUND($D135,2)&lt;&gt;$D135,"Service minutes per visit: use up to 2 decimal places. ",IF($D135=0,"Service minutes per visit must be more than 0. ",IF($D135&gt;600,"Service minutes per visit: use 600 or less. ",""))))))&amp;IF($E135="","Drive minutes per visit is missing. ",IF(NOT(ISNUMBER($E135)),"Drive minutes per visit must be a number. ",IF($E135&lt;0,"Drive minutes per visit can't be negative. ",IF(ROUND($E135,2)&lt;&gt;$E135,"Drive minutes per visit: use up to 2 decimal places. ",IF($E135&gt;600,"Drive minutes per visit: use 600 or less. ","")))))&amp;IF($F135="","Drive miles per visit is missing. ",IF(NOT(ISNUMBER($F135)),"Drive miles per visit must be a number. ",IF($F135&lt;0,"Drive miles per visit can't be negative. ",IF(ROUND($F135,2)&lt;&gt;$F135,"Drive miles per visit: use up to 2 decimal places. ",IF($F135&gt;1000,"Drive miles per visit: use 1,000 or less. ","")))))&amp;IF($G135="","Chemicals per visit is missing. ",IF(NOT(ISNUMBER($G135)),"Chemicals per visit must be a number. ",IF($G135&lt;0,"Chemicals per visit can't be negative. ",IF(ROUND($G135,2)&lt;&gt;$G135,"Chemicals per visit: use up to 2 decimal places. ",IF($G135&gt;9999.99,"Chemicals per visit: use 9,999.99 or less. ","")))))&amp;IF($H135="","Other monthly costs is missing. ",IF(NOT(ISNUMBER($H135)),"Other monthly costs must be a number. ",IF($H135&lt;0,"Other monthly costs can't be negative. ",IF(ROUND($H135,2)&lt;&gt;$H135,"Other monthly costs: use up to 2 decimal places. ",IF($H135&gt;99999.99,"Other monthly costs: use 99,999.99 or less. ","")))))&amp;IF(SettingsOK,"","Settings incomplete.")))</f>
        <v/>
      </c>
      <c r="T135" s="23" t="str">
        <f aca="false">IF(AND($A135="",$B135="",$C135="",$D135="",$E135="",$F135="",$G135="",$H135=""),"",IF(Review!$B$5="Check inputs",IF($R135="Check inputs",ROW(),""),IF($R135="Check inputs",IF(Review!$B$5="All accounts",-2000000000000000+ROW(),""),IF(AND(Review!$B$5="Needs review",$R135="Meets your target"),"",IF($R135="No fee entered",-1000000000000000+ROW(),$N135/$B135+ROW()/1000000000)))))</f>
        <v/>
      </c>
    </row>
    <row r="136" customFormat="false" ht="15" hidden="false" customHeight="false" outlineLevel="0" collapsed="false">
      <c r="A136" s="14"/>
      <c r="B136" s="15"/>
      <c r="C136" s="16"/>
      <c r="D136" s="14"/>
      <c r="E136" s="14"/>
      <c r="F136" s="14"/>
      <c r="G136" s="15"/>
      <c r="H136" s="15"/>
      <c r="I136" s="17" t="str">
        <f aca="false">IF(OR(AND($A136="",$B136="",$C136="",$D136="",$E136="",$F136="",$G136="",$H136=""),NOT($S136="")),"",ROUND($C136*($D136+$E136)/60,4))</f>
        <v/>
      </c>
      <c r="J136" s="18" t="str">
        <f aca="false">IF(OR(AND($A136="",$B136="",$C136="",$D136="",$E136="",$F136="",$G136="",$H136=""),NOT($S136="")),"",ROUND(ROUND($C136*($D136+$E136)/60*$B$5,9),2))</f>
        <v/>
      </c>
      <c r="K136" s="18" t="str">
        <f aca="false">IF(OR(AND($A136="",$B136="",$C136="",$D136="",$E136="",$F136="",$G136="",$H136=""),NOT($S136="")),"",ROUND(ROUND($C136*$F136*$B$6,9),2))</f>
        <v/>
      </c>
      <c r="L136" s="18" t="str">
        <f aca="false">IF(OR(AND($A136="",$B136="",$C136="",$D136="",$E136="",$F136="",$G136="",$H136=""),NOT($S136="")),"",ROUND(ROUND($C136*$G136,9),2))</f>
        <v/>
      </c>
      <c r="M136" s="19" t="str">
        <f aca="false">IF(OR(AND($A136="",$B136="",$C136="",$D136="",$E136="",$F136="",$G136="",$H136=""),NOT($S136="")),"",ROUND($J136+$K136+$L136+$H136,2))</f>
        <v/>
      </c>
      <c r="N136" s="19" t="str">
        <f aca="false">IF(OR(AND($A136="",$B136="",$C136="",$D136="",$E136="",$F136="",$G136="",$H136=""),NOT($S136="")),"",ROUND($B136-$M136,2))</f>
        <v/>
      </c>
      <c r="O136" s="20" t="str">
        <f aca="false">IF(OR(AND($A136="",$B136="",$C136="",$D136="",$E136="",$F136="",$G136="",$H136=""),NOT($S136="")),"",IF($B136=0,"n/a",INT(ROUND($N136/$B136*10000,6))/10000))</f>
        <v/>
      </c>
      <c r="P136" s="18" t="str">
        <f aca="false">IF(OR(AND($A136="",$B136="",$C136="",$D136="",$E136="",$F136="",$G136="",$H136=""),NOT($S136="")),"",ROUNDUP(ROUND($M136*10000/(10000-TargetH),9),2))</f>
        <v/>
      </c>
      <c r="Q136" s="18" t="str">
        <f aca="false">IF(OR(AND($A136="",$B136="",$C136="",$D136="",$E136="",$F136="",$G136="",$H136=""),NOT($S136="")),"",MAX(0,ROUND($P136-$B136,2)))</f>
        <v/>
      </c>
      <c r="R136" s="21" t="str">
        <f aca="false">IF(AND($A136="",$B136="",$C136="",$D136="",$E136="",$F136="",$G136="",$H136=""),"",IF(NOT($S136=""),"Check inputs",IF($B136=0,"No fee entered",IF($N136&lt;0,"Losing money on entered costs",IF(ROUND($N136*100,0)*10000&lt;TargetH*ROUND($B136*100,0),"Below your target","Meets your target")))))</f>
        <v/>
      </c>
      <c r="S136" s="22" t="str">
        <f aca="false">IF(AND($A136="",$B136="",$C136="",$D136="",$E136="",$F136="",$G136="",$H136=""),"",TRIM(IF($A136="","Customer/site label is missing. ","")&amp;IF($B136="","Monthly fee is missing. ",IF(NOT(ISNUMBER($B136)),"Monthly fee must be a number. ",IF($B136&lt;0,"Monthly fee can't be negative. ",IF(ROUND($B136,2)&lt;&gt;$B136,"Monthly fee: use up to 2 decimal places. ",IF($B136&gt;99999.99,"Monthly fee: use 99,999.99 or less. ","")))))&amp;IF($C136="","Visits per month is missing. ",IF(NOT(ISNUMBER($C136)),"Visits per month must be a number. ",IF($C136&lt;0,"Visits per month can't be negative. ",IF(ROUND($C136,3)&lt;&gt;$C136,"Visits per month: use up to 3 decimal places. ",IF($C136=0,"Visits per month must be more than 0. ",IF($C136&gt;31,"Visits per month: use 31 or less. ",""))))))&amp;IF($D136="","Service minutes per visit is missing. ",IF(NOT(ISNUMBER($D136)),"Service minutes per visit must be a number. ",IF($D136&lt;0,"Service minutes per visit can't be negative. ",IF(ROUND($D136,2)&lt;&gt;$D136,"Service minutes per visit: use up to 2 decimal places. ",IF($D136=0,"Service minutes per visit must be more than 0. ",IF($D136&gt;600,"Service minutes per visit: use 600 or less. ",""))))))&amp;IF($E136="","Drive minutes per visit is missing. ",IF(NOT(ISNUMBER($E136)),"Drive minutes per visit must be a number. ",IF($E136&lt;0,"Drive minutes per visit can't be negative. ",IF(ROUND($E136,2)&lt;&gt;$E136,"Drive minutes per visit: use up to 2 decimal places. ",IF($E136&gt;600,"Drive minutes per visit: use 600 or less. ","")))))&amp;IF($F136="","Drive miles per visit is missing. ",IF(NOT(ISNUMBER($F136)),"Drive miles per visit must be a number. ",IF($F136&lt;0,"Drive miles per visit can't be negative. ",IF(ROUND($F136,2)&lt;&gt;$F136,"Drive miles per visit: use up to 2 decimal places. ",IF($F136&gt;1000,"Drive miles per visit: use 1,000 or less. ","")))))&amp;IF($G136="","Chemicals per visit is missing. ",IF(NOT(ISNUMBER($G136)),"Chemicals per visit must be a number. ",IF($G136&lt;0,"Chemicals per visit can't be negative. ",IF(ROUND($G136,2)&lt;&gt;$G136,"Chemicals per visit: use up to 2 decimal places. ",IF($G136&gt;9999.99,"Chemicals per visit: use 9,999.99 or less. ","")))))&amp;IF($H136="","Other monthly costs is missing. ",IF(NOT(ISNUMBER($H136)),"Other monthly costs must be a number. ",IF($H136&lt;0,"Other monthly costs can't be negative. ",IF(ROUND($H136,2)&lt;&gt;$H136,"Other monthly costs: use up to 2 decimal places. ",IF($H136&gt;99999.99,"Other monthly costs: use 99,999.99 or less. ","")))))&amp;IF(SettingsOK,"","Settings incomplete.")))</f>
        <v/>
      </c>
      <c r="T136" s="23" t="str">
        <f aca="false">IF(AND($A136="",$B136="",$C136="",$D136="",$E136="",$F136="",$G136="",$H136=""),"",IF(Review!$B$5="Check inputs",IF($R136="Check inputs",ROW(),""),IF($R136="Check inputs",IF(Review!$B$5="All accounts",-2000000000000000+ROW(),""),IF(AND(Review!$B$5="Needs review",$R136="Meets your target"),"",IF($R136="No fee entered",-1000000000000000+ROW(),$N136/$B136+ROW()/1000000000)))))</f>
        <v/>
      </c>
    </row>
    <row r="137" customFormat="false" ht="15" hidden="false" customHeight="false" outlineLevel="0" collapsed="false">
      <c r="A137" s="14"/>
      <c r="B137" s="15"/>
      <c r="C137" s="16"/>
      <c r="D137" s="14"/>
      <c r="E137" s="14"/>
      <c r="F137" s="14"/>
      <c r="G137" s="15"/>
      <c r="H137" s="15"/>
      <c r="I137" s="17" t="str">
        <f aca="false">IF(OR(AND($A137="",$B137="",$C137="",$D137="",$E137="",$F137="",$G137="",$H137=""),NOT($S137="")),"",ROUND($C137*($D137+$E137)/60,4))</f>
        <v/>
      </c>
      <c r="J137" s="18" t="str">
        <f aca="false">IF(OR(AND($A137="",$B137="",$C137="",$D137="",$E137="",$F137="",$G137="",$H137=""),NOT($S137="")),"",ROUND(ROUND($C137*($D137+$E137)/60*$B$5,9),2))</f>
        <v/>
      </c>
      <c r="K137" s="18" t="str">
        <f aca="false">IF(OR(AND($A137="",$B137="",$C137="",$D137="",$E137="",$F137="",$G137="",$H137=""),NOT($S137="")),"",ROUND(ROUND($C137*$F137*$B$6,9),2))</f>
        <v/>
      </c>
      <c r="L137" s="18" t="str">
        <f aca="false">IF(OR(AND($A137="",$B137="",$C137="",$D137="",$E137="",$F137="",$G137="",$H137=""),NOT($S137="")),"",ROUND(ROUND($C137*$G137,9),2))</f>
        <v/>
      </c>
      <c r="M137" s="19" t="str">
        <f aca="false">IF(OR(AND($A137="",$B137="",$C137="",$D137="",$E137="",$F137="",$G137="",$H137=""),NOT($S137="")),"",ROUND($J137+$K137+$L137+$H137,2))</f>
        <v/>
      </c>
      <c r="N137" s="19" t="str">
        <f aca="false">IF(OR(AND($A137="",$B137="",$C137="",$D137="",$E137="",$F137="",$G137="",$H137=""),NOT($S137="")),"",ROUND($B137-$M137,2))</f>
        <v/>
      </c>
      <c r="O137" s="20" t="str">
        <f aca="false">IF(OR(AND($A137="",$B137="",$C137="",$D137="",$E137="",$F137="",$G137="",$H137=""),NOT($S137="")),"",IF($B137=0,"n/a",INT(ROUND($N137/$B137*10000,6))/10000))</f>
        <v/>
      </c>
      <c r="P137" s="18" t="str">
        <f aca="false">IF(OR(AND($A137="",$B137="",$C137="",$D137="",$E137="",$F137="",$G137="",$H137=""),NOT($S137="")),"",ROUNDUP(ROUND($M137*10000/(10000-TargetH),9),2))</f>
        <v/>
      </c>
      <c r="Q137" s="18" t="str">
        <f aca="false">IF(OR(AND($A137="",$B137="",$C137="",$D137="",$E137="",$F137="",$G137="",$H137=""),NOT($S137="")),"",MAX(0,ROUND($P137-$B137,2)))</f>
        <v/>
      </c>
      <c r="R137" s="21" t="str">
        <f aca="false">IF(AND($A137="",$B137="",$C137="",$D137="",$E137="",$F137="",$G137="",$H137=""),"",IF(NOT($S137=""),"Check inputs",IF($B137=0,"No fee entered",IF($N137&lt;0,"Losing money on entered costs",IF(ROUND($N137*100,0)*10000&lt;TargetH*ROUND($B137*100,0),"Below your target","Meets your target")))))</f>
        <v/>
      </c>
      <c r="S137" s="22" t="str">
        <f aca="false">IF(AND($A137="",$B137="",$C137="",$D137="",$E137="",$F137="",$G137="",$H137=""),"",TRIM(IF($A137="","Customer/site label is missing. ","")&amp;IF($B137="","Monthly fee is missing. ",IF(NOT(ISNUMBER($B137)),"Monthly fee must be a number. ",IF($B137&lt;0,"Monthly fee can't be negative. ",IF(ROUND($B137,2)&lt;&gt;$B137,"Monthly fee: use up to 2 decimal places. ",IF($B137&gt;99999.99,"Monthly fee: use 99,999.99 or less. ","")))))&amp;IF($C137="","Visits per month is missing. ",IF(NOT(ISNUMBER($C137)),"Visits per month must be a number. ",IF($C137&lt;0,"Visits per month can't be negative. ",IF(ROUND($C137,3)&lt;&gt;$C137,"Visits per month: use up to 3 decimal places. ",IF($C137=0,"Visits per month must be more than 0. ",IF($C137&gt;31,"Visits per month: use 31 or less. ",""))))))&amp;IF($D137="","Service minutes per visit is missing. ",IF(NOT(ISNUMBER($D137)),"Service minutes per visit must be a number. ",IF($D137&lt;0,"Service minutes per visit can't be negative. ",IF(ROUND($D137,2)&lt;&gt;$D137,"Service minutes per visit: use up to 2 decimal places. ",IF($D137=0,"Service minutes per visit must be more than 0. ",IF($D137&gt;600,"Service minutes per visit: use 600 or less. ",""))))))&amp;IF($E137="","Drive minutes per visit is missing. ",IF(NOT(ISNUMBER($E137)),"Drive minutes per visit must be a number. ",IF($E137&lt;0,"Drive minutes per visit can't be negative. ",IF(ROUND($E137,2)&lt;&gt;$E137,"Drive minutes per visit: use up to 2 decimal places. ",IF($E137&gt;600,"Drive minutes per visit: use 600 or less. ","")))))&amp;IF($F137="","Drive miles per visit is missing. ",IF(NOT(ISNUMBER($F137)),"Drive miles per visit must be a number. ",IF($F137&lt;0,"Drive miles per visit can't be negative. ",IF(ROUND($F137,2)&lt;&gt;$F137,"Drive miles per visit: use up to 2 decimal places. ",IF($F137&gt;1000,"Drive miles per visit: use 1,000 or less. ","")))))&amp;IF($G137="","Chemicals per visit is missing. ",IF(NOT(ISNUMBER($G137)),"Chemicals per visit must be a number. ",IF($G137&lt;0,"Chemicals per visit can't be negative. ",IF(ROUND($G137,2)&lt;&gt;$G137,"Chemicals per visit: use up to 2 decimal places. ",IF($G137&gt;9999.99,"Chemicals per visit: use 9,999.99 or less. ","")))))&amp;IF($H137="","Other monthly costs is missing. ",IF(NOT(ISNUMBER($H137)),"Other monthly costs must be a number. ",IF($H137&lt;0,"Other monthly costs can't be negative. ",IF(ROUND($H137,2)&lt;&gt;$H137,"Other monthly costs: use up to 2 decimal places. ",IF($H137&gt;99999.99,"Other monthly costs: use 99,999.99 or less. ","")))))&amp;IF(SettingsOK,"","Settings incomplete.")))</f>
        <v/>
      </c>
      <c r="T137" s="23" t="str">
        <f aca="false">IF(AND($A137="",$B137="",$C137="",$D137="",$E137="",$F137="",$G137="",$H137=""),"",IF(Review!$B$5="Check inputs",IF($R137="Check inputs",ROW(),""),IF($R137="Check inputs",IF(Review!$B$5="All accounts",-2000000000000000+ROW(),""),IF(AND(Review!$B$5="Needs review",$R137="Meets your target"),"",IF($R137="No fee entered",-1000000000000000+ROW(),$N137/$B137+ROW()/1000000000)))))</f>
        <v/>
      </c>
    </row>
    <row r="138" customFormat="false" ht="15" hidden="false" customHeight="false" outlineLevel="0" collapsed="false">
      <c r="A138" s="14"/>
      <c r="B138" s="15"/>
      <c r="C138" s="16"/>
      <c r="D138" s="14"/>
      <c r="E138" s="14"/>
      <c r="F138" s="14"/>
      <c r="G138" s="15"/>
      <c r="H138" s="15"/>
      <c r="I138" s="17" t="str">
        <f aca="false">IF(OR(AND($A138="",$B138="",$C138="",$D138="",$E138="",$F138="",$G138="",$H138=""),NOT($S138="")),"",ROUND($C138*($D138+$E138)/60,4))</f>
        <v/>
      </c>
      <c r="J138" s="18" t="str">
        <f aca="false">IF(OR(AND($A138="",$B138="",$C138="",$D138="",$E138="",$F138="",$G138="",$H138=""),NOT($S138="")),"",ROUND(ROUND($C138*($D138+$E138)/60*$B$5,9),2))</f>
        <v/>
      </c>
      <c r="K138" s="18" t="str">
        <f aca="false">IF(OR(AND($A138="",$B138="",$C138="",$D138="",$E138="",$F138="",$G138="",$H138=""),NOT($S138="")),"",ROUND(ROUND($C138*$F138*$B$6,9),2))</f>
        <v/>
      </c>
      <c r="L138" s="18" t="str">
        <f aca="false">IF(OR(AND($A138="",$B138="",$C138="",$D138="",$E138="",$F138="",$G138="",$H138=""),NOT($S138="")),"",ROUND(ROUND($C138*$G138,9),2))</f>
        <v/>
      </c>
      <c r="M138" s="19" t="str">
        <f aca="false">IF(OR(AND($A138="",$B138="",$C138="",$D138="",$E138="",$F138="",$G138="",$H138=""),NOT($S138="")),"",ROUND($J138+$K138+$L138+$H138,2))</f>
        <v/>
      </c>
      <c r="N138" s="19" t="str">
        <f aca="false">IF(OR(AND($A138="",$B138="",$C138="",$D138="",$E138="",$F138="",$G138="",$H138=""),NOT($S138="")),"",ROUND($B138-$M138,2))</f>
        <v/>
      </c>
      <c r="O138" s="20" t="str">
        <f aca="false">IF(OR(AND($A138="",$B138="",$C138="",$D138="",$E138="",$F138="",$G138="",$H138=""),NOT($S138="")),"",IF($B138=0,"n/a",INT(ROUND($N138/$B138*10000,6))/10000))</f>
        <v/>
      </c>
      <c r="P138" s="18" t="str">
        <f aca="false">IF(OR(AND($A138="",$B138="",$C138="",$D138="",$E138="",$F138="",$G138="",$H138=""),NOT($S138="")),"",ROUNDUP(ROUND($M138*10000/(10000-TargetH),9),2))</f>
        <v/>
      </c>
      <c r="Q138" s="18" t="str">
        <f aca="false">IF(OR(AND($A138="",$B138="",$C138="",$D138="",$E138="",$F138="",$G138="",$H138=""),NOT($S138="")),"",MAX(0,ROUND($P138-$B138,2)))</f>
        <v/>
      </c>
      <c r="R138" s="21" t="str">
        <f aca="false">IF(AND($A138="",$B138="",$C138="",$D138="",$E138="",$F138="",$G138="",$H138=""),"",IF(NOT($S138=""),"Check inputs",IF($B138=0,"No fee entered",IF($N138&lt;0,"Losing money on entered costs",IF(ROUND($N138*100,0)*10000&lt;TargetH*ROUND($B138*100,0),"Below your target","Meets your target")))))</f>
        <v/>
      </c>
      <c r="S138" s="22" t="str">
        <f aca="false">IF(AND($A138="",$B138="",$C138="",$D138="",$E138="",$F138="",$G138="",$H138=""),"",TRIM(IF($A138="","Customer/site label is missing. ","")&amp;IF($B138="","Monthly fee is missing. ",IF(NOT(ISNUMBER($B138)),"Monthly fee must be a number. ",IF($B138&lt;0,"Monthly fee can't be negative. ",IF(ROUND($B138,2)&lt;&gt;$B138,"Monthly fee: use up to 2 decimal places. ",IF($B138&gt;99999.99,"Monthly fee: use 99,999.99 or less. ","")))))&amp;IF($C138="","Visits per month is missing. ",IF(NOT(ISNUMBER($C138)),"Visits per month must be a number. ",IF($C138&lt;0,"Visits per month can't be negative. ",IF(ROUND($C138,3)&lt;&gt;$C138,"Visits per month: use up to 3 decimal places. ",IF($C138=0,"Visits per month must be more than 0. ",IF($C138&gt;31,"Visits per month: use 31 or less. ",""))))))&amp;IF($D138="","Service minutes per visit is missing. ",IF(NOT(ISNUMBER($D138)),"Service minutes per visit must be a number. ",IF($D138&lt;0,"Service minutes per visit can't be negative. ",IF(ROUND($D138,2)&lt;&gt;$D138,"Service minutes per visit: use up to 2 decimal places. ",IF($D138=0,"Service minutes per visit must be more than 0. ",IF($D138&gt;600,"Service minutes per visit: use 600 or less. ",""))))))&amp;IF($E138="","Drive minutes per visit is missing. ",IF(NOT(ISNUMBER($E138)),"Drive minutes per visit must be a number. ",IF($E138&lt;0,"Drive minutes per visit can't be negative. ",IF(ROUND($E138,2)&lt;&gt;$E138,"Drive minutes per visit: use up to 2 decimal places. ",IF($E138&gt;600,"Drive minutes per visit: use 600 or less. ","")))))&amp;IF($F138="","Drive miles per visit is missing. ",IF(NOT(ISNUMBER($F138)),"Drive miles per visit must be a number. ",IF($F138&lt;0,"Drive miles per visit can't be negative. ",IF(ROUND($F138,2)&lt;&gt;$F138,"Drive miles per visit: use up to 2 decimal places. ",IF($F138&gt;1000,"Drive miles per visit: use 1,000 or less. ","")))))&amp;IF($G138="","Chemicals per visit is missing. ",IF(NOT(ISNUMBER($G138)),"Chemicals per visit must be a number. ",IF($G138&lt;0,"Chemicals per visit can't be negative. ",IF(ROUND($G138,2)&lt;&gt;$G138,"Chemicals per visit: use up to 2 decimal places. ",IF($G138&gt;9999.99,"Chemicals per visit: use 9,999.99 or less. ","")))))&amp;IF($H138="","Other monthly costs is missing. ",IF(NOT(ISNUMBER($H138)),"Other monthly costs must be a number. ",IF($H138&lt;0,"Other monthly costs can't be negative. ",IF(ROUND($H138,2)&lt;&gt;$H138,"Other monthly costs: use up to 2 decimal places. ",IF($H138&gt;99999.99,"Other monthly costs: use 99,999.99 or less. ","")))))&amp;IF(SettingsOK,"","Settings incomplete.")))</f>
        <v/>
      </c>
      <c r="T138" s="23" t="str">
        <f aca="false">IF(AND($A138="",$B138="",$C138="",$D138="",$E138="",$F138="",$G138="",$H138=""),"",IF(Review!$B$5="Check inputs",IF($R138="Check inputs",ROW(),""),IF($R138="Check inputs",IF(Review!$B$5="All accounts",-2000000000000000+ROW(),""),IF(AND(Review!$B$5="Needs review",$R138="Meets your target"),"",IF($R138="No fee entered",-1000000000000000+ROW(),$N138/$B138+ROW()/1000000000)))))</f>
        <v/>
      </c>
    </row>
    <row r="139" customFormat="false" ht="15" hidden="false" customHeight="false" outlineLevel="0" collapsed="false">
      <c r="A139" s="14"/>
      <c r="B139" s="15"/>
      <c r="C139" s="16"/>
      <c r="D139" s="14"/>
      <c r="E139" s="14"/>
      <c r="F139" s="14"/>
      <c r="G139" s="15"/>
      <c r="H139" s="15"/>
      <c r="I139" s="17" t="str">
        <f aca="false">IF(OR(AND($A139="",$B139="",$C139="",$D139="",$E139="",$F139="",$G139="",$H139=""),NOT($S139="")),"",ROUND($C139*($D139+$E139)/60,4))</f>
        <v/>
      </c>
      <c r="J139" s="18" t="str">
        <f aca="false">IF(OR(AND($A139="",$B139="",$C139="",$D139="",$E139="",$F139="",$G139="",$H139=""),NOT($S139="")),"",ROUND(ROUND($C139*($D139+$E139)/60*$B$5,9),2))</f>
        <v/>
      </c>
      <c r="K139" s="18" t="str">
        <f aca="false">IF(OR(AND($A139="",$B139="",$C139="",$D139="",$E139="",$F139="",$G139="",$H139=""),NOT($S139="")),"",ROUND(ROUND($C139*$F139*$B$6,9),2))</f>
        <v/>
      </c>
      <c r="L139" s="18" t="str">
        <f aca="false">IF(OR(AND($A139="",$B139="",$C139="",$D139="",$E139="",$F139="",$G139="",$H139=""),NOT($S139="")),"",ROUND(ROUND($C139*$G139,9),2))</f>
        <v/>
      </c>
      <c r="M139" s="19" t="str">
        <f aca="false">IF(OR(AND($A139="",$B139="",$C139="",$D139="",$E139="",$F139="",$G139="",$H139=""),NOT($S139="")),"",ROUND($J139+$K139+$L139+$H139,2))</f>
        <v/>
      </c>
      <c r="N139" s="19" t="str">
        <f aca="false">IF(OR(AND($A139="",$B139="",$C139="",$D139="",$E139="",$F139="",$G139="",$H139=""),NOT($S139="")),"",ROUND($B139-$M139,2))</f>
        <v/>
      </c>
      <c r="O139" s="20" t="str">
        <f aca="false">IF(OR(AND($A139="",$B139="",$C139="",$D139="",$E139="",$F139="",$G139="",$H139=""),NOT($S139="")),"",IF($B139=0,"n/a",INT(ROUND($N139/$B139*10000,6))/10000))</f>
        <v/>
      </c>
      <c r="P139" s="18" t="str">
        <f aca="false">IF(OR(AND($A139="",$B139="",$C139="",$D139="",$E139="",$F139="",$G139="",$H139=""),NOT($S139="")),"",ROUNDUP(ROUND($M139*10000/(10000-TargetH),9),2))</f>
        <v/>
      </c>
      <c r="Q139" s="18" t="str">
        <f aca="false">IF(OR(AND($A139="",$B139="",$C139="",$D139="",$E139="",$F139="",$G139="",$H139=""),NOT($S139="")),"",MAX(0,ROUND($P139-$B139,2)))</f>
        <v/>
      </c>
      <c r="R139" s="21" t="str">
        <f aca="false">IF(AND($A139="",$B139="",$C139="",$D139="",$E139="",$F139="",$G139="",$H139=""),"",IF(NOT($S139=""),"Check inputs",IF($B139=0,"No fee entered",IF($N139&lt;0,"Losing money on entered costs",IF(ROUND($N139*100,0)*10000&lt;TargetH*ROUND($B139*100,0),"Below your target","Meets your target")))))</f>
        <v/>
      </c>
      <c r="S139" s="22" t="str">
        <f aca="false">IF(AND($A139="",$B139="",$C139="",$D139="",$E139="",$F139="",$G139="",$H139=""),"",TRIM(IF($A139="","Customer/site label is missing. ","")&amp;IF($B139="","Monthly fee is missing. ",IF(NOT(ISNUMBER($B139)),"Monthly fee must be a number. ",IF($B139&lt;0,"Monthly fee can't be negative. ",IF(ROUND($B139,2)&lt;&gt;$B139,"Monthly fee: use up to 2 decimal places. ",IF($B139&gt;99999.99,"Monthly fee: use 99,999.99 or less. ","")))))&amp;IF($C139="","Visits per month is missing. ",IF(NOT(ISNUMBER($C139)),"Visits per month must be a number. ",IF($C139&lt;0,"Visits per month can't be negative. ",IF(ROUND($C139,3)&lt;&gt;$C139,"Visits per month: use up to 3 decimal places. ",IF($C139=0,"Visits per month must be more than 0. ",IF($C139&gt;31,"Visits per month: use 31 or less. ",""))))))&amp;IF($D139="","Service minutes per visit is missing. ",IF(NOT(ISNUMBER($D139)),"Service minutes per visit must be a number. ",IF($D139&lt;0,"Service minutes per visit can't be negative. ",IF(ROUND($D139,2)&lt;&gt;$D139,"Service minutes per visit: use up to 2 decimal places. ",IF($D139=0,"Service minutes per visit must be more than 0. ",IF($D139&gt;600,"Service minutes per visit: use 600 or less. ",""))))))&amp;IF($E139="","Drive minutes per visit is missing. ",IF(NOT(ISNUMBER($E139)),"Drive minutes per visit must be a number. ",IF($E139&lt;0,"Drive minutes per visit can't be negative. ",IF(ROUND($E139,2)&lt;&gt;$E139,"Drive minutes per visit: use up to 2 decimal places. ",IF($E139&gt;600,"Drive minutes per visit: use 600 or less. ","")))))&amp;IF($F139="","Drive miles per visit is missing. ",IF(NOT(ISNUMBER($F139)),"Drive miles per visit must be a number. ",IF($F139&lt;0,"Drive miles per visit can't be negative. ",IF(ROUND($F139,2)&lt;&gt;$F139,"Drive miles per visit: use up to 2 decimal places. ",IF($F139&gt;1000,"Drive miles per visit: use 1,000 or less. ","")))))&amp;IF($G139="","Chemicals per visit is missing. ",IF(NOT(ISNUMBER($G139)),"Chemicals per visit must be a number. ",IF($G139&lt;0,"Chemicals per visit can't be negative. ",IF(ROUND($G139,2)&lt;&gt;$G139,"Chemicals per visit: use up to 2 decimal places. ",IF($G139&gt;9999.99,"Chemicals per visit: use 9,999.99 or less. ","")))))&amp;IF($H139="","Other monthly costs is missing. ",IF(NOT(ISNUMBER($H139)),"Other monthly costs must be a number. ",IF($H139&lt;0,"Other monthly costs can't be negative. ",IF(ROUND($H139,2)&lt;&gt;$H139,"Other monthly costs: use up to 2 decimal places. ",IF($H139&gt;99999.99,"Other monthly costs: use 99,999.99 or less. ","")))))&amp;IF(SettingsOK,"","Settings incomplete.")))</f>
        <v/>
      </c>
      <c r="T139" s="23" t="str">
        <f aca="false">IF(AND($A139="",$B139="",$C139="",$D139="",$E139="",$F139="",$G139="",$H139=""),"",IF(Review!$B$5="Check inputs",IF($R139="Check inputs",ROW(),""),IF($R139="Check inputs",IF(Review!$B$5="All accounts",-2000000000000000+ROW(),""),IF(AND(Review!$B$5="Needs review",$R139="Meets your target"),"",IF($R139="No fee entered",-1000000000000000+ROW(),$N139/$B139+ROW()/1000000000)))))</f>
        <v/>
      </c>
    </row>
    <row r="140" customFormat="false" ht="15" hidden="false" customHeight="false" outlineLevel="0" collapsed="false">
      <c r="A140" s="14"/>
      <c r="B140" s="15"/>
      <c r="C140" s="16"/>
      <c r="D140" s="14"/>
      <c r="E140" s="14"/>
      <c r="F140" s="14"/>
      <c r="G140" s="15"/>
      <c r="H140" s="15"/>
      <c r="I140" s="17" t="str">
        <f aca="false">IF(OR(AND($A140="",$B140="",$C140="",$D140="",$E140="",$F140="",$G140="",$H140=""),NOT($S140="")),"",ROUND($C140*($D140+$E140)/60,4))</f>
        <v/>
      </c>
      <c r="J140" s="18" t="str">
        <f aca="false">IF(OR(AND($A140="",$B140="",$C140="",$D140="",$E140="",$F140="",$G140="",$H140=""),NOT($S140="")),"",ROUND(ROUND($C140*($D140+$E140)/60*$B$5,9),2))</f>
        <v/>
      </c>
      <c r="K140" s="18" t="str">
        <f aca="false">IF(OR(AND($A140="",$B140="",$C140="",$D140="",$E140="",$F140="",$G140="",$H140=""),NOT($S140="")),"",ROUND(ROUND($C140*$F140*$B$6,9),2))</f>
        <v/>
      </c>
      <c r="L140" s="18" t="str">
        <f aca="false">IF(OR(AND($A140="",$B140="",$C140="",$D140="",$E140="",$F140="",$G140="",$H140=""),NOT($S140="")),"",ROUND(ROUND($C140*$G140,9),2))</f>
        <v/>
      </c>
      <c r="M140" s="19" t="str">
        <f aca="false">IF(OR(AND($A140="",$B140="",$C140="",$D140="",$E140="",$F140="",$G140="",$H140=""),NOT($S140="")),"",ROUND($J140+$K140+$L140+$H140,2))</f>
        <v/>
      </c>
      <c r="N140" s="19" t="str">
        <f aca="false">IF(OR(AND($A140="",$B140="",$C140="",$D140="",$E140="",$F140="",$G140="",$H140=""),NOT($S140="")),"",ROUND($B140-$M140,2))</f>
        <v/>
      </c>
      <c r="O140" s="20" t="str">
        <f aca="false">IF(OR(AND($A140="",$B140="",$C140="",$D140="",$E140="",$F140="",$G140="",$H140=""),NOT($S140="")),"",IF($B140=0,"n/a",INT(ROUND($N140/$B140*10000,6))/10000))</f>
        <v/>
      </c>
      <c r="P140" s="18" t="str">
        <f aca="false">IF(OR(AND($A140="",$B140="",$C140="",$D140="",$E140="",$F140="",$G140="",$H140=""),NOT($S140="")),"",ROUNDUP(ROUND($M140*10000/(10000-TargetH),9),2))</f>
        <v/>
      </c>
      <c r="Q140" s="18" t="str">
        <f aca="false">IF(OR(AND($A140="",$B140="",$C140="",$D140="",$E140="",$F140="",$G140="",$H140=""),NOT($S140="")),"",MAX(0,ROUND($P140-$B140,2)))</f>
        <v/>
      </c>
      <c r="R140" s="21" t="str">
        <f aca="false">IF(AND($A140="",$B140="",$C140="",$D140="",$E140="",$F140="",$G140="",$H140=""),"",IF(NOT($S140=""),"Check inputs",IF($B140=0,"No fee entered",IF($N140&lt;0,"Losing money on entered costs",IF(ROUND($N140*100,0)*10000&lt;TargetH*ROUND($B140*100,0),"Below your target","Meets your target")))))</f>
        <v/>
      </c>
      <c r="S140" s="22" t="str">
        <f aca="false">IF(AND($A140="",$B140="",$C140="",$D140="",$E140="",$F140="",$G140="",$H140=""),"",TRIM(IF($A140="","Customer/site label is missing. ","")&amp;IF($B140="","Monthly fee is missing. ",IF(NOT(ISNUMBER($B140)),"Monthly fee must be a number. ",IF($B140&lt;0,"Monthly fee can't be negative. ",IF(ROUND($B140,2)&lt;&gt;$B140,"Monthly fee: use up to 2 decimal places. ",IF($B140&gt;99999.99,"Monthly fee: use 99,999.99 or less. ","")))))&amp;IF($C140="","Visits per month is missing. ",IF(NOT(ISNUMBER($C140)),"Visits per month must be a number. ",IF($C140&lt;0,"Visits per month can't be negative. ",IF(ROUND($C140,3)&lt;&gt;$C140,"Visits per month: use up to 3 decimal places. ",IF($C140=0,"Visits per month must be more than 0. ",IF($C140&gt;31,"Visits per month: use 31 or less. ",""))))))&amp;IF($D140="","Service minutes per visit is missing. ",IF(NOT(ISNUMBER($D140)),"Service minutes per visit must be a number. ",IF($D140&lt;0,"Service minutes per visit can't be negative. ",IF(ROUND($D140,2)&lt;&gt;$D140,"Service minutes per visit: use up to 2 decimal places. ",IF($D140=0,"Service minutes per visit must be more than 0. ",IF($D140&gt;600,"Service minutes per visit: use 600 or less. ",""))))))&amp;IF($E140="","Drive minutes per visit is missing. ",IF(NOT(ISNUMBER($E140)),"Drive minutes per visit must be a number. ",IF($E140&lt;0,"Drive minutes per visit can't be negative. ",IF(ROUND($E140,2)&lt;&gt;$E140,"Drive minutes per visit: use up to 2 decimal places. ",IF($E140&gt;600,"Drive minutes per visit: use 600 or less. ","")))))&amp;IF($F140="","Drive miles per visit is missing. ",IF(NOT(ISNUMBER($F140)),"Drive miles per visit must be a number. ",IF($F140&lt;0,"Drive miles per visit can't be negative. ",IF(ROUND($F140,2)&lt;&gt;$F140,"Drive miles per visit: use up to 2 decimal places. ",IF($F140&gt;1000,"Drive miles per visit: use 1,000 or less. ","")))))&amp;IF($G140="","Chemicals per visit is missing. ",IF(NOT(ISNUMBER($G140)),"Chemicals per visit must be a number. ",IF($G140&lt;0,"Chemicals per visit can't be negative. ",IF(ROUND($G140,2)&lt;&gt;$G140,"Chemicals per visit: use up to 2 decimal places. ",IF($G140&gt;9999.99,"Chemicals per visit: use 9,999.99 or less. ","")))))&amp;IF($H140="","Other monthly costs is missing. ",IF(NOT(ISNUMBER($H140)),"Other monthly costs must be a number. ",IF($H140&lt;0,"Other monthly costs can't be negative. ",IF(ROUND($H140,2)&lt;&gt;$H140,"Other monthly costs: use up to 2 decimal places. ",IF($H140&gt;99999.99,"Other monthly costs: use 99,999.99 or less. ","")))))&amp;IF(SettingsOK,"","Settings incomplete.")))</f>
        <v/>
      </c>
      <c r="T140" s="23" t="str">
        <f aca="false">IF(AND($A140="",$B140="",$C140="",$D140="",$E140="",$F140="",$G140="",$H140=""),"",IF(Review!$B$5="Check inputs",IF($R140="Check inputs",ROW(),""),IF($R140="Check inputs",IF(Review!$B$5="All accounts",-2000000000000000+ROW(),""),IF(AND(Review!$B$5="Needs review",$R140="Meets your target"),"",IF($R140="No fee entered",-1000000000000000+ROW(),$N140/$B140+ROW()/1000000000)))))</f>
        <v/>
      </c>
    </row>
    <row r="141" customFormat="false" ht="15" hidden="false" customHeight="false" outlineLevel="0" collapsed="false">
      <c r="A141" s="14"/>
      <c r="B141" s="15"/>
      <c r="C141" s="16"/>
      <c r="D141" s="14"/>
      <c r="E141" s="14"/>
      <c r="F141" s="14"/>
      <c r="G141" s="15"/>
      <c r="H141" s="15"/>
      <c r="I141" s="17" t="str">
        <f aca="false">IF(OR(AND($A141="",$B141="",$C141="",$D141="",$E141="",$F141="",$G141="",$H141=""),NOT($S141="")),"",ROUND($C141*($D141+$E141)/60,4))</f>
        <v/>
      </c>
      <c r="J141" s="18" t="str">
        <f aca="false">IF(OR(AND($A141="",$B141="",$C141="",$D141="",$E141="",$F141="",$G141="",$H141=""),NOT($S141="")),"",ROUND(ROUND($C141*($D141+$E141)/60*$B$5,9),2))</f>
        <v/>
      </c>
      <c r="K141" s="18" t="str">
        <f aca="false">IF(OR(AND($A141="",$B141="",$C141="",$D141="",$E141="",$F141="",$G141="",$H141=""),NOT($S141="")),"",ROUND(ROUND($C141*$F141*$B$6,9),2))</f>
        <v/>
      </c>
      <c r="L141" s="18" t="str">
        <f aca="false">IF(OR(AND($A141="",$B141="",$C141="",$D141="",$E141="",$F141="",$G141="",$H141=""),NOT($S141="")),"",ROUND(ROUND($C141*$G141,9),2))</f>
        <v/>
      </c>
      <c r="M141" s="19" t="str">
        <f aca="false">IF(OR(AND($A141="",$B141="",$C141="",$D141="",$E141="",$F141="",$G141="",$H141=""),NOT($S141="")),"",ROUND($J141+$K141+$L141+$H141,2))</f>
        <v/>
      </c>
      <c r="N141" s="19" t="str">
        <f aca="false">IF(OR(AND($A141="",$B141="",$C141="",$D141="",$E141="",$F141="",$G141="",$H141=""),NOT($S141="")),"",ROUND($B141-$M141,2))</f>
        <v/>
      </c>
      <c r="O141" s="20" t="str">
        <f aca="false">IF(OR(AND($A141="",$B141="",$C141="",$D141="",$E141="",$F141="",$G141="",$H141=""),NOT($S141="")),"",IF($B141=0,"n/a",INT(ROUND($N141/$B141*10000,6))/10000))</f>
        <v/>
      </c>
      <c r="P141" s="18" t="str">
        <f aca="false">IF(OR(AND($A141="",$B141="",$C141="",$D141="",$E141="",$F141="",$G141="",$H141=""),NOT($S141="")),"",ROUNDUP(ROUND($M141*10000/(10000-TargetH),9),2))</f>
        <v/>
      </c>
      <c r="Q141" s="18" t="str">
        <f aca="false">IF(OR(AND($A141="",$B141="",$C141="",$D141="",$E141="",$F141="",$G141="",$H141=""),NOT($S141="")),"",MAX(0,ROUND($P141-$B141,2)))</f>
        <v/>
      </c>
      <c r="R141" s="21" t="str">
        <f aca="false">IF(AND($A141="",$B141="",$C141="",$D141="",$E141="",$F141="",$G141="",$H141=""),"",IF(NOT($S141=""),"Check inputs",IF($B141=0,"No fee entered",IF($N141&lt;0,"Losing money on entered costs",IF(ROUND($N141*100,0)*10000&lt;TargetH*ROUND($B141*100,0),"Below your target","Meets your target")))))</f>
        <v/>
      </c>
      <c r="S141" s="22" t="str">
        <f aca="false">IF(AND($A141="",$B141="",$C141="",$D141="",$E141="",$F141="",$G141="",$H141=""),"",TRIM(IF($A141="","Customer/site label is missing. ","")&amp;IF($B141="","Monthly fee is missing. ",IF(NOT(ISNUMBER($B141)),"Monthly fee must be a number. ",IF($B141&lt;0,"Monthly fee can't be negative. ",IF(ROUND($B141,2)&lt;&gt;$B141,"Monthly fee: use up to 2 decimal places. ",IF($B141&gt;99999.99,"Monthly fee: use 99,999.99 or less. ","")))))&amp;IF($C141="","Visits per month is missing. ",IF(NOT(ISNUMBER($C141)),"Visits per month must be a number. ",IF($C141&lt;0,"Visits per month can't be negative. ",IF(ROUND($C141,3)&lt;&gt;$C141,"Visits per month: use up to 3 decimal places. ",IF($C141=0,"Visits per month must be more than 0. ",IF($C141&gt;31,"Visits per month: use 31 or less. ",""))))))&amp;IF($D141="","Service minutes per visit is missing. ",IF(NOT(ISNUMBER($D141)),"Service minutes per visit must be a number. ",IF($D141&lt;0,"Service minutes per visit can't be negative. ",IF(ROUND($D141,2)&lt;&gt;$D141,"Service minutes per visit: use up to 2 decimal places. ",IF($D141=0,"Service minutes per visit must be more than 0. ",IF($D141&gt;600,"Service minutes per visit: use 600 or less. ",""))))))&amp;IF($E141="","Drive minutes per visit is missing. ",IF(NOT(ISNUMBER($E141)),"Drive minutes per visit must be a number. ",IF($E141&lt;0,"Drive minutes per visit can't be negative. ",IF(ROUND($E141,2)&lt;&gt;$E141,"Drive minutes per visit: use up to 2 decimal places. ",IF($E141&gt;600,"Drive minutes per visit: use 600 or less. ","")))))&amp;IF($F141="","Drive miles per visit is missing. ",IF(NOT(ISNUMBER($F141)),"Drive miles per visit must be a number. ",IF($F141&lt;0,"Drive miles per visit can't be negative. ",IF(ROUND($F141,2)&lt;&gt;$F141,"Drive miles per visit: use up to 2 decimal places. ",IF($F141&gt;1000,"Drive miles per visit: use 1,000 or less. ","")))))&amp;IF($G141="","Chemicals per visit is missing. ",IF(NOT(ISNUMBER($G141)),"Chemicals per visit must be a number. ",IF($G141&lt;0,"Chemicals per visit can't be negative. ",IF(ROUND($G141,2)&lt;&gt;$G141,"Chemicals per visit: use up to 2 decimal places. ",IF($G141&gt;9999.99,"Chemicals per visit: use 9,999.99 or less. ","")))))&amp;IF($H141="","Other monthly costs is missing. ",IF(NOT(ISNUMBER($H141)),"Other monthly costs must be a number. ",IF($H141&lt;0,"Other monthly costs can't be negative. ",IF(ROUND($H141,2)&lt;&gt;$H141,"Other monthly costs: use up to 2 decimal places. ",IF($H141&gt;99999.99,"Other monthly costs: use 99,999.99 or less. ","")))))&amp;IF(SettingsOK,"","Settings incomplete.")))</f>
        <v/>
      </c>
      <c r="T141" s="23" t="str">
        <f aca="false">IF(AND($A141="",$B141="",$C141="",$D141="",$E141="",$F141="",$G141="",$H141=""),"",IF(Review!$B$5="Check inputs",IF($R141="Check inputs",ROW(),""),IF($R141="Check inputs",IF(Review!$B$5="All accounts",-2000000000000000+ROW(),""),IF(AND(Review!$B$5="Needs review",$R141="Meets your target"),"",IF($R141="No fee entered",-1000000000000000+ROW(),$N141/$B141+ROW()/1000000000)))))</f>
        <v/>
      </c>
    </row>
    <row r="142" customFormat="false" ht="15" hidden="false" customHeight="false" outlineLevel="0" collapsed="false">
      <c r="A142" s="14"/>
      <c r="B142" s="15"/>
      <c r="C142" s="16"/>
      <c r="D142" s="14"/>
      <c r="E142" s="14"/>
      <c r="F142" s="14"/>
      <c r="G142" s="15"/>
      <c r="H142" s="15"/>
      <c r="I142" s="17" t="str">
        <f aca="false">IF(OR(AND($A142="",$B142="",$C142="",$D142="",$E142="",$F142="",$G142="",$H142=""),NOT($S142="")),"",ROUND($C142*($D142+$E142)/60,4))</f>
        <v/>
      </c>
      <c r="J142" s="18" t="str">
        <f aca="false">IF(OR(AND($A142="",$B142="",$C142="",$D142="",$E142="",$F142="",$G142="",$H142=""),NOT($S142="")),"",ROUND(ROUND($C142*($D142+$E142)/60*$B$5,9),2))</f>
        <v/>
      </c>
      <c r="K142" s="18" t="str">
        <f aca="false">IF(OR(AND($A142="",$B142="",$C142="",$D142="",$E142="",$F142="",$G142="",$H142=""),NOT($S142="")),"",ROUND(ROUND($C142*$F142*$B$6,9),2))</f>
        <v/>
      </c>
      <c r="L142" s="18" t="str">
        <f aca="false">IF(OR(AND($A142="",$B142="",$C142="",$D142="",$E142="",$F142="",$G142="",$H142=""),NOT($S142="")),"",ROUND(ROUND($C142*$G142,9),2))</f>
        <v/>
      </c>
      <c r="M142" s="19" t="str">
        <f aca="false">IF(OR(AND($A142="",$B142="",$C142="",$D142="",$E142="",$F142="",$G142="",$H142=""),NOT($S142="")),"",ROUND($J142+$K142+$L142+$H142,2))</f>
        <v/>
      </c>
      <c r="N142" s="19" t="str">
        <f aca="false">IF(OR(AND($A142="",$B142="",$C142="",$D142="",$E142="",$F142="",$G142="",$H142=""),NOT($S142="")),"",ROUND($B142-$M142,2))</f>
        <v/>
      </c>
      <c r="O142" s="20" t="str">
        <f aca="false">IF(OR(AND($A142="",$B142="",$C142="",$D142="",$E142="",$F142="",$G142="",$H142=""),NOT($S142="")),"",IF($B142=0,"n/a",INT(ROUND($N142/$B142*10000,6))/10000))</f>
        <v/>
      </c>
      <c r="P142" s="18" t="str">
        <f aca="false">IF(OR(AND($A142="",$B142="",$C142="",$D142="",$E142="",$F142="",$G142="",$H142=""),NOT($S142="")),"",ROUNDUP(ROUND($M142*10000/(10000-TargetH),9),2))</f>
        <v/>
      </c>
      <c r="Q142" s="18" t="str">
        <f aca="false">IF(OR(AND($A142="",$B142="",$C142="",$D142="",$E142="",$F142="",$G142="",$H142=""),NOT($S142="")),"",MAX(0,ROUND($P142-$B142,2)))</f>
        <v/>
      </c>
      <c r="R142" s="21" t="str">
        <f aca="false">IF(AND($A142="",$B142="",$C142="",$D142="",$E142="",$F142="",$G142="",$H142=""),"",IF(NOT($S142=""),"Check inputs",IF($B142=0,"No fee entered",IF($N142&lt;0,"Losing money on entered costs",IF(ROUND($N142*100,0)*10000&lt;TargetH*ROUND($B142*100,0),"Below your target","Meets your target")))))</f>
        <v/>
      </c>
      <c r="S142" s="22" t="str">
        <f aca="false">IF(AND($A142="",$B142="",$C142="",$D142="",$E142="",$F142="",$G142="",$H142=""),"",TRIM(IF($A142="","Customer/site label is missing. ","")&amp;IF($B142="","Monthly fee is missing. ",IF(NOT(ISNUMBER($B142)),"Monthly fee must be a number. ",IF($B142&lt;0,"Monthly fee can't be negative. ",IF(ROUND($B142,2)&lt;&gt;$B142,"Monthly fee: use up to 2 decimal places. ",IF($B142&gt;99999.99,"Monthly fee: use 99,999.99 or less. ","")))))&amp;IF($C142="","Visits per month is missing. ",IF(NOT(ISNUMBER($C142)),"Visits per month must be a number. ",IF($C142&lt;0,"Visits per month can't be negative. ",IF(ROUND($C142,3)&lt;&gt;$C142,"Visits per month: use up to 3 decimal places. ",IF($C142=0,"Visits per month must be more than 0. ",IF($C142&gt;31,"Visits per month: use 31 or less. ",""))))))&amp;IF($D142="","Service minutes per visit is missing. ",IF(NOT(ISNUMBER($D142)),"Service minutes per visit must be a number. ",IF($D142&lt;0,"Service minutes per visit can't be negative. ",IF(ROUND($D142,2)&lt;&gt;$D142,"Service minutes per visit: use up to 2 decimal places. ",IF($D142=0,"Service minutes per visit must be more than 0. ",IF($D142&gt;600,"Service minutes per visit: use 600 or less. ",""))))))&amp;IF($E142="","Drive minutes per visit is missing. ",IF(NOT(ISNUMBER($E142)),"Drive minutes per visit must be a number. ",IF($E142&lt;0,"Drive minutes per visit can't be negative. ",IF(ROUND($E142,2)&lt;&gt;$E142,"Drive minutes per visit: use up to 2 decimal places. ",IF($E142&gt;600,"Drive minutes per visit: use 600 or less. ","")))))&amp;IF($F142="","Drive miles per visit is missing. ",IF(NOT(ISNUMBER($F142)),"Drive miles per visit must be a number. ",IF($F142&lt;0,"Drive miles per visit can't be negative. ",IF(ROUND($F142,2)&lt;&gt;$F142,"Drive miles per visit: use up to 2 decimal places. ",IF($F142&gt;1000,"Drive miles per visit: use 1,000 or less. ","")))))&amp;IF($G142="","Chemicals per visit is missing. ",IF(NOT(ISNUMBER($G142)),"Chemicals per visit must be a number. ",IF($G142&lt;0,"Chemicals per visit can't be negative. ",IF(ROUND($G142,2)&lt;&gt;$G142,"Chemicals per visit: use up to 2 decimal places. ",IF($G142&gt;9999.99,"Chemicals per visit: use 9,999.99 or less. ","")))))&amp;IF($H142="","Other monthly costs is missing. ",IF(NOT(ISNUMBER($H142)),"Other monthly costs must be a number. ",IF($H142&lt;0,"Other monthly costs can't be negative. ",IF(ROUND($H142,2)&lt;&gt;$H142,"Other monthly costs: use up to 2 decimal places. ",IF($H142&gt;99999.99,"Other monthly costs: use 99,999.99 or less. ","")))))&amp;IF(SettingsOK,"","Settings incomplete.")))</f>
        <v/>
      </c>
      <c r="T142" s="23" t="str">
        <f aca="false">IF(AND($A142="",$B142="",$C142="",$D142="",$E142="",$F142="",$G142="",$H142=""),"",IF(Review!$B$5="Check inputs",IF($R142="Check inputs",ROW(),""),IF($R142="Check inputs",IF(Review!$B$5="All accounts",-2000000000000000+ROW(),""),IF(AND(Review!$B$5="Needs review",$R142="Meets your target"),"",IF($R142="No fee entered",-1000000000000000+ROW(),$N142/$B142+ROW()/1000000000)))))</f>
        <v/>
      </c>
    </row>
    <row r="143" customFormat="false" ht="15" hidden="false" customHeight="false" outlineLevel="0" collapsed="false">
      <c r="A143" s="14"/>
      <c r="B143" s="15"/>
      <c r="C143" s="16"/>
      <c r="D143" s="14"/>
      <c r="E143" s="14"/>
      <c r="F143" s="14"/>
      <c r="G143" s="15"/>
      <c r="H143" s="15"/>
      <c r="I143" s="17" t="str">
        <f aca="false">IF(OR(AND($A143="",$B143="",$C143="",$D143="",$E143="",$F143="",$G143="",$H143=""),NOT($S143="")),"",ROUND($C143*($D143+$E143)/60,4))</f>
        <v/>
      </c>
      <c r="J143" s="18" t="str">
        <f aca="false">IF(OR(AND($A143="",$B143="",$C143="",$D143="",$E143="",$F143="",$G143="",$H143=""),NOT($S143="")),"",ROUND(ROUND($C143*($D143+$E143)/60*$B$5,9),2))</f>
        <v/>
      </c>
      <c r="K143" s="18" t="str">
        <f aca="false">IF(OR(AND($A143="",$B143="",$C143="",$D143="",$E143="",$F143="",$G143="",$H143=""),NOT($S143="")),"",ROUND(ROUND($C143*$F143*$B$6,9),2))</f>
        <v/>
      </c>
      <c r="L143" s="18" t="str">
        <f aca="false">IF(OR(AND($A143="",$B143="",$C143="",$D143="",$E143="",$F143="",$G143="",$H143=""),NOT($S143="")),"",ROUND(ROUND($C143*$G143,9),2))</f>
        <v/>
      </c>
      <c r="M143" s="19" t="str">
        <f aca="false">IF(OR(AND($A143="",$B143="",$C143="",$D143="",$E143="",$F143="",$G143="",$H143=""),NOT($S143="")),"",ROUND($J143+$K143+$L143+$H143,2))</f>
        <v/>
      </c>
      <c r="N143" s="19" t="str">
        <f aca="false">IF(OR(AND($A143="",$B143="",$C143="",$D143="",$E143="",$F143="",$G143="",$H143=""),NOT($S143="")),"",ROUND($B143-$M143,2))</f>
        <v/>
      </c>
      <c r="O143" s="20" t="str">
        <f aca="false">IF(OR(AND($A143="",$B143="",$C143="",$D143="",$E143="",$F143="",$G143="",$H143=""),NOT($S143="")),"",IF($B143=0,"n/a",INT(ROUND($N143/$B143*10000,6))/10000))</f>
        <v/>
      </c>
      <c r="P143" s="18" t="str">
        <f aca="false">IF(OR(AND($A143="",$B143="",$C143="",$D143="",$E143="",$F143="",$G143="",$H143=""),NOT($S143="")),"",ROUNDUP(ROUND($M143*10000/(10000-TargetH),9),2))</f>
        <v/>
      </c>
      <c r="Q143" s="18" t="str">
        <f aca="false">IF(OR(AND($A143="",$B143="",$C143="",$D143="",$E143="",$F143="",$G143="",$H143=""),NOT($S143="")),"",MAX(0,ROUND($P143-$B143,2)))</f>
        <v/>
      </c>
      <c r="R143" s="21" t="str">
        <f aca="false">IF(AND($A143="",$B143="",$C143="",$D143="",$E143="",$F143="",$G143="",$H143=""),"",IF(NOT($S143=""),"Check inputs",IF($B143=0,"No fee entered",IF($N143&lt;0,"Losing money on entered costs",IF(ROUND($N143*100,0)*10000&lt;TargetH*ROUND($B143*100,0),"Below your target","Meets your target")))))</f>
        <v/>
      </c>
      <c r="S143" s="22" t="str">
        <f aca="false">IF(AND($A143="",$B143="",$C143="",$D143="",$E143="",$F143="",$G143="",$H143=""),"",TRIM(IF($A143="","Customer/site label is missing. ","")&amp;IF($B143="","Monthly fee is missing. ",IF(NOT(ISNUMBER($B143)),"Monthly fee must be a number. ",IF($B143&lt;0,"Monthly fee can't be negative. ",IF(ROUND($B143,2)&lt;&gt;$B143,"Monthly fee: use up to 2 decimal places. ",IF($B143&gt;99999.99,"Monthly fee: use 99,999.99 or less. ","")))))&amp;IF($C143="","Visits per month is missing. ",IF(NOT(ISNUMBER($C143)),"Visits per month must be a number. ",IF($C143&lt;0,"Visits per month can't be negative. ",IF(ROUND($C143,3)&lt;&gt;$C143,"Visits per month: use up to 3 decimal places. ",IF($C143=0,"Visits per month must be more than 0. ",IF($C143&gt;31,"Visits per month: use 31 or less. ",""))))))&amp;IF($D143="","Service minutes per visit is missing. ",IF(NOT(ISNUMBER($D143)),"Service minutes per visit must be a number. ",IF($D143&lt;0,"Service minutes per visit can't be negative. ",IF(ROUND($D143,2)&lt;&gt;$D143,"Service minutes per visit: use up to 2 decimal places. ",IF($D143=0,"Service minutes per visit must be more than 0. ",IF($D143&gt;600,"Service minutes per visit: use 600 or less. ",""))))))&amp;IF($E143="","Drive minutes per visit is missing. ",IF(NOT(ISNUMBER($E143)),"Drive minutes per visit must be a number. ",IF($E143&lt;0,"Drive minutes per visit can't be negative. ",IF(ROUND($E143,2)&lt;&gt;$E143,"Drive minutes per visit: use up to 2 decimal places. ",IF($E143&gt;600,"Drive minutes per visit: use 600 or less. ","")))))&amp;IF($F143="","Drive miles per visit is missing. ",IF(NOT(ISNUMBER($F143)),"Drive miles per visit must be a number. ",IF($F143&lt;0,"Drive miles per visit can't be negative. ",IF(ROUND($F143,2)&lt;&gt;$F143,"Drive miles per visit: use up to 2 decimal places. ",IF($F143&gt;1000,"Drive miles per visit: use 1,000 or less. ","")))))&amp;IF($G143="","Chemicals per visit is missing. ",IF(NOT(ISNUMBER($G143)),"Chemicals per visit must be a number. ",IF($G143&lt;0,"Chemicals per visit can't be negative. ",IF(ROUND($G143,2)&lt;&gt;$G143,"Chemicals per visit: use up to 2 decimal places. ",IF($G143&gt;9999.99,"Chemicals per visit: use 9,999.99 or less. ","")))))&amp;IF($H143="","Other monthly costs is missing. ",IF(NOT(ISNUMBER($H143)),"Other monthly costs must be a number. ",IF($H143&lt;0,"Other monthly costs can't be negative. ",IF(ROUND($H143,2)&lt;&gt;$H143,"Other monthly costs: use up to 2 decimal places. ",IF($H143&gt;99999.99,"Other monthly costs: use 99,999.99 or less. ","")))))&amp;IF(SettingsOK,"","Settings incomplete.")))</f>
        <v/>
      </c>
      <c r="T143" s="23" t="str">
        <f aca="false">IF(AND($A143="",$B143="",$C143="",$D143="",$E143="",$F143="",$G143="",$H143=""),"",IF(Review!$B$5="Check inputs",IF($R143="Check inputs",ROW(),""),IF($R143="Check inputs",IF(Review!$B$5="All accounts",-2000000000000000+ROW(),""),IF(AND(Review!$B$5="Needs review",$R143="Meets your target"),"",IF($R143="No fee entered",-1000000000000000+ROW(),$N143/$B143+ROW()/1000000000)))))</f>
        <v/>
      </c>
    </row>
    <row r="144" customFormat="false" ht="15" hidden="false" customHeight="false" outlineLevel="0" collapsed="false">
      <c r="A144" s="14"/>
      <c r="B144" s="15"/>
      <c r="C144" s="16"/>
      <c r="D144" s="14"/>
      <c r="E144" s="14"/>
      <c r="F144" s="14"/>
      <c r="G144" s="15"/>
      <c r="H144" s="15"/>
      <c r="I144" s="17" t="str">
        <f aca="false">IF(OR(AND($A144="",$B144="",$C144="",$D144="",$E144="",$F144="",$G144="",$H144=""),NOT($S144="")),"",ROUND($C144*($D144+$E144)/60,4))</f>
        <v/>
      </c>
      <c r="J144" s="18" t="str">
        <f aca="false">IF(OR(AND($A144="",$B144="",$C144="",$D144="",$E144="",$F144="",$G144="",$H144=""),NOT($S144="")),"",ROUND(ROUND($C144*($D144+$E144)/60*$B$5,9),2))</f>
        <v/>
      </c>
      <c r="K144" s="18" t="str">
        <f aca="false">IF(OR(AND($A144="",$B144="",$C144="",$D144="",$E144="",$F144="",$G144="",$H144=""),NOT($S144="")),"",ROUND(ROUND($C144*$F144*$B$6,9),2))</f>
        <v/>
      </c>
      <c r="L144" s="18" t="str">
        <f aca="false">IF(OR(AND($A144="",$B144="",$C144="",$D144="",$E144="",$F144="",$G144="",$H144=""),NOT($S144="")),"",ROUND(ROUND($C144*$G144,9),2))</f>
        <v/>
      </c>
      <c r="M144" s="19" t="str">
        <f aca="false">IF(OR(AND($A144="",$B144="",$C144="",$D144="",$E144="",$F144="",$G144="",$H144=""),NOT($S144="")),"",ROUND($J144+$K144+$L144+$H144,2))</f>
        <v/>
      </c>
      <c r="N144" s="19" t="str">
        <f aca="false">IF(OR(AND($A144="",$B144="",$C144="",$D144="",$E144="",$F144="",$G144="",$H144=""),NOT($S144="")),"",ROUND($B144-$M144,2))</f>
        <v/>
      </c>
      <c r="O144" s="20" t="str">
        <f aca="false">IF(OR(AND($A144="",$B144="",$C144="",$D144="",$E144="",$F144="",$G144="",$H144=""),NOT($S144="")),"",IF($B144=0,"n/a",INT(ROUND($N144/$B144*10000,6))/10000))</f>
        <v/>
      </c>
      <c r="P144" s="18" t="str">
        <f aca="false">IF(OR(AND($A144="",$B144="",$C144="",$D144="",$E144="",$F144="",$G144="",$H144=""),NOT($S144="")),"",ROUNDUP(ROUND($M144*10000/(10000-TargetH),9),2))</f>
        <v/>
      </c>
      <c r="Q144" s="18" t="str">
        <f aca="false">IF(OR(AND($A144="",$B144="",$C144="",$D144="",$E144="",$F144="",$G144="",$H144=""),NOT($S144="")),"",MAX(0,ROUND($P144-$B144,2)))</f>
        <v/>
      </c>
      <c r="R144" s="21" t="str">
        <f aca="false">IF(AND($A144="",$B144="",$C144="",$D144="",$E144="",$F144="",$G144="",$H144=""),"",IF(NOT($S144=""),"Check inputs",IF($B144=0,"No fee entered",IF($N144&lt;0,"Losing money on entered costs",IF(ROUND($N144*100,0)*10000&lt;TargetH*ROUND($B144*100,0),"Below your target","Meets your target")))))</f>
        <v/>
      </c>
      <c r="S144" s="22" t="str">
        <f aca="false">IF(AND($A144="",$B144="",$C144="",$D144="",$E144="",$F144="",$G144="",$H144=""),"",TRIM(IF($A144="","Customer/site label is missing. ","")&amp;IF($B144="","Monthly fee is missing. ",IF(NOT(ISNUMBER($B144)),"Monthly fee must be a number. ",IF($B144&lt;0,"Monthly fee can't be negative. ",IF(ROUND($B144,2)&lt;&gt;$B144,"Monthly fee: use up to 2 decimal places. ",IF($B144&gt;99999.99,"Monthly fee: use 99,999.99 or less. ","")))))&amp;IF($C144="","Visits per month is missing. ",IF(NOT(ISNUMBER($C144)),"Visits per month must be a number. ",IF($C144&lt;0,"Visits per month can't be negative. ",IF(ROUND($C144,3)&lt;&gt;$C144,"Visits per month: use up to 3 decimal places. ",IF($C144=0,"Visits per month must be more than 0. ",IF($C144&gt;31,"Visits per month: use 31 or less. ",""))))))&amp;IF($D144="","Service minutes per visit is missing. ",IF(NOT(ISNUMBER($D144)),"Service minutes per visit must be a number. ",IF($D144&lt;0,"Service minutes per visit can't be negative. ",IF(ROUND($D144,2)&lt;&gt;$D144,"Service minutes per visit: use up to 2 decimal places. ",IF($D144=0,"Service minutes per visit must be more than 0. ",IF($D144&gt;600,"Service minutes per visit: use 600 or less. ",""))))))&amp;IF($E144="","Drive minutes per visit is missing. ",IF(NOT(ISNUMBER($E144)),"Drive minutes per visit must be a number. ",IF($E144&lt;0,"Drive minutes per visit can't be negative. ",IF(ROUND($E144,2)&lt;&gt;$E144,"Drive minutes per visit: use up to 2 decimal places. ",IF($E144&gt;600,"Drive minutes per visit: use 600 or less. ","")))))&amp;IF($F144="","Drive miles per visit is missing. ",IF(NOT(ISNUMBER($F144)),"Drive miles per visit must be a number. ",IF($F144&lt;0,"Drive miles per visit can't be negative. ",IF(ROUND($F144,2)&lt;&gt;$F144,"Drive miles per visit: use up to 2 decimal places. ",IF($F144&gt;1000,"Drive miles per visit: use 1,000 or less. ","")))))&amp;IF($G144="","Chemicals per visit is missing. ",IF(NOT(ISNUMBER($G144)),"Chemicals per visit must be a number. ",IF($G144&lt;0,"Chemicals per visit can't be negative. ",IF(ROUND($G144,2)&lt;&gt;$G144,"Chemicals per visit: use up to 2 decimal places. ",IF($G144&gt;9999.99,"Chemicals per visit: use 9,999.99 or less. ","")))))&amp;IF($H144="","Other monthly costs is missing. ",IF(NOT(ISNUMBER($H144)),"Other monthly costs must be a number. ",IF($H144&lt;0,"Other monthly costs can't be negative. ",IF(ROUND($H144,2)&lt;&gt;$H144,"Other monthly costs: use up to 2 decimal places. ",IF($H144&gt;99999.99,"Other monthly costs: use 99,999.99 or less. ","")))))&amp;IF(SettingsOK,"","Settings incomplete.")))</f>
        <v/>
      </c>
      <c r="T144" s="23" t="str">
        <f aca="false">IF(AND($A144="",$B144="",$C144="",$D144="",$E144="",$F144="",$G144="",$H144=""),"",IF(Review!$B$5="Check inputs",IF($R144="Check inputs",ROW(),""),IF($R144="Check inputs",IF(Review!$B$5="All accounts",-2000000000000000+ROW(),""),IF(AND(Review!$B$5="Needs review",$R144="Meets your target"),"",IF($R144="No fee entered",-1000000000000000+ROW(),$N144/$B144+ROW()/1000000000)))))</f>
        <v/>
      </c>
    </row>
    <row r="145" customFormat="false" ht="15" hidden="false" customHeight="false" outlineLevel="0" collapsed="false">
      <c r="A145" s="14"/>
      <c r="B145" s="15"/>
      <c r="C145" s="16"/>
      <c r="D145" s="14"/>
      <c r="E145" s="14"/>
      <c r="F145" s="14"/>
      <c r="G145" s="15"/>
      <c r="H145" s="15"/>
      <c r="I145" s="17" t="str">
        <f aca="false">IF(OR(AND($A145="",$B145="",$C145="",$D145="",$E145="",$F145="",$G145="",$H145=""),NOT($S145="")),"",ROUND($C145*($D145+$E145)/60,4))</f>
        <v/>
      </c>
      <c r="J145" s="18" t="str">
        <f aca="false">IF(OR(AND($A145="",$B145="",$C145="",$D145="",$E145="",$F145="",$G145="",$H145=""),NOT($S145="")),"",ROUND(ROUND($C145*($D145+$E145)/60*$B$5,9),2))</f>
        <v/>
      </c>
      <c r="K145" s="18" t="str">
        <f aca="false">IF(OR(AND($A145="",$B145="",$C145="",$D145="",$E145="",$F145="",$G145="",$H145=""),NOT($S145="")),"",ROUND(ROUND($C145*$F145*$B$6,9),2))</f>
        <v/>
      </c>
      <c r="L145" s="18" t="str">
        <f aca="false">IF(OR(AND($A145="",$B145="",$C145="",$D145="",$E145="",$F145="",$G145="",$H145=""),NOT($S145="")),"",ROUND(ROUND($C145*$G145,9),2))</f>
        <v/>
      </c>
      <c r="M145" s="19" t="str">
        <f aca="false">IF(OR(AND($A145="",$B145="",$C145="",$D145="",$E145="",$F145="",$G145="",$H145=""),NOT($S145="")),"",ROUND($J145+$K145+$L145+$H145,2))</f>
        <v/>
      </c>
      <c r="N145" s="19" t="str">
        <f aca="false">IF(OR(AND($A145="",$B145="",$C145="",$D145="",$E145="",$F145="",$G145="",$H145=""),NOT($S145="")),"",ROUND($B145-$M145,2))</f>
        <v/>
      </c>
      <c r="O145" s="20" t="str">
        <f aca="false">IF(OR(AND($A145="",$B145="",$C145="",$D145="",$E145="",$F145="",$G145="",$H145=""),NOT($S145="")),"",IF($B145=0,"n/a",INT(ROUND($N145/$B145*10000,6))/10000))</f>
        <v/>
      </c>
      <c r="P145" s="18" t="str">
        <f aca="false">IF(OR(AND($A145="",$B145="",$C145="",$D145="",$E145="",$F145="",$G145="",$H145=""),NOT($S145="")),"",ROUNDUP(ROUND($M145*10000/(10000-TargetH),9),2))</f>
        <v/>
      </c>
      <c r="Q145" s="18" t="str">
        <f aca="false">IF(OR(AND($A145="",$B145="",$C145="",$D145="",$E145="",$F145="",$G145="",$H145=""),NOT($S145="")),"",MAX(0,ROUND($P145-$B145,2)))</f>
        <v/>
      </c>
      <c r="R145" s="21" t="str">
        <f aca="false">IF(AND($A145="",$B145="",$C145="",$D145="",$E145="",$F145="",$G145="",$H145=""),"",IF(NOT($S145=""),"Check inputs",IF($B145=0,"No fee entered",IF($N145&lt;0,"Losing money on entered costs",IF(ROUND($N145*100,0)*10000&lt;TargetH*ROUND($B145*100,0),"Below your target","Meets your target")))))</f>
        <v/>
      </c>
      <c r="S145" s="22" t="str">
        <f aca="false">IF(AND($A145="",$B145="",$C145="",$D145="",$E145="",$F145="",$G145="",$H145=""),"",TRIM(IF($A145="","Customer/site label is missing. ","")&amp;IF($B145="","Monthly fee is missing. ",IF(NOT(ISNUMBER($B145)),"Monthly fee must be a number. ",IF($B145&lt;0,"Monthly fee can't be negative. ",IF(ROUND($B145,2)&lt;&gt;$B145,"Monthly fee: use up to 2 decimal places. ",IF($B145&gt;99999.99,"Monthly fee: use 99,999.99 or less. ","")))))&amp;IF($C145="","Visits per month is missing. ",IF(NOT(ISNUMBER($C145)),"Visits per month must be a number. ",IF($C145&lt;0,"Visits per month can't be negative. ",IF(ROUND($C145,3)&lt;&gt;$C145,"Visits per month: use up to 3 decimal places. ",IF($C145=0,"Visits per month must be more than 0. ",IF($C145&gt;31,"Visits per month: use 31 or less. ",""))))))&amp;IF($D145="","Service minutes per visit is missing. ",IF(NOT(ISNUMBER($D145)),"Service minutes per visit must be a number. ",IF($D145&lt;0,"Service minutes per visit can't be negative. ",IF(ROUND($D145,2)&lt;&gt;$D145,"Service minutes per visit: use up to 2 decimal places. ",IF($D145=0,"Service minutes per visit must be more than 0. ",IF($D145&gt;600,"Service minutes per visit: use 600 or less. ",""))))))&amp;IF($E145="","Drive minutes per visit is missing. ",IF(NOT(ISNUMBER($E145)),"Drive minutes per visit must be a number. ",IF($E145&lt;0,"Drive minutes per visit can't be negative. ",IF(ROUND($E145,2)&lt;&gt;$E145,"Drive minutes per visit: use up to 2 decimal places. ",IF($E145&gt;600,"Drive minutes per visit: use 600 or less. ","")))))&amp;IF($F145="","Drive miles per visit is missing. ",IF(NOT(ISNUMBER($F145)),"Drive miles per visit must be a number. ",IF($F145&lt;0,"Drive miles per visit can't be negative. ",IF(ROUND($F145,2)&lt;&gt;$F145,"Drive miles per visit: use up to 2 decimal places. ",IF($F145&gt;1000,"Drive miles per visit: use 1,000 or less. ","")))))&amp;IF($G145="","Chemicals per visit is missing. ",IF(NOT(ISNUMBER($G145)),"Chemicals per visit must be a number. ",IF($G145&lt;0,"Chemicals per visit can't be negative. ",IF(ROUND($G145,2)&lt;&gt;$G145,"Chemicals per visit: use up to 2 decimal places. ",IF($G145&gt;9999.99,"Chemicals per visit: use 9,999.99 or less. ","")))))&amp;IF($H145="","Other monthly costs is missing. ",IF(NOT(ISNUMBER($H145)),"Other monthly costs must be a number. ",IF($H145&lt;0,"Other monthly costs can't be negative. ",IF(ROUND($H145,2)&lt;&gt;$H145,"Other monthly costs: use up to 2 decimal places. ",IF($H145&gt;99999.99,"Other monthly costs: use 99,999.99 or less. ","")))))&amp;IF(SettingsOK,"","Settings incomplete.")))</f>
        <v/>
      </c>
      <c r="T145" s="23" t="str">
        <f aca="false">IF(AND($A145="",$B145="",$C145="",$D145="",$E145="",$F145="",$G145="",$H145=""),"",IF(Review!$B$5="Check inputs",IF($R145="Check inputs",ROW(),""),IF($R145="Check inputs",IF(Review!$B$5="All accounts",-2000000000000000+ROW(),""),IF(AND(Review!$B$5="Needs review",$R145="Meets your target"),"",IF($R145="No fee entered",-1000000000000000+ROW(),$N145/$B145+ROW()/1000000000)))))</f>
        <v/>
      </c>
    </row>
    <row r="146" customFormat="false" ht="15" hidden="false" customHeight="false" outlineLevel="0" collapsed="false">
      <c r="A146" s="14"/>
      <c r="B146" s="15"/>
      <c r="C146" s="16"/>
      <c r="D146" s="14"/>
      <c r="E146" s="14"/>
      <c r="F146" s="14"/>
      <c r="G146" s="15"/>
      <c r="H146" s="15"/>
      <c r="I146" s="17" t="str">
        <f aca="false">IF(OR(AND($A146="",$B146="",$C146="",$D146="",$E146="",$F146="",$G146="",$H146=""),NOT($S146="")),"",ROUND($C146*($D146+$E146)/60,4))</f>
        <v/>
      </c>
      <c r="J146" s="18" t="str">
        <f aca="false">IF(OR(AND($A146="",$B146="",$C146="",$D146="",$E146="",$F146="",$G146="",$H146=""),NOT($S146="")),"",ROUND(ROUND($C146*($D146+$E146)/60*$B$5,9),2))</f>
        <v/>
      </c>
      <c r="K146" s="18" t="str">
        <f aca="false">IF(OR(AND($A146="",$B146="",$C146="",$D146="",$E146="",$F146="",$G146="",$H146=""),NOT($S146="")),"",ROUND(ROUND($C146*$F146*$B$6,9),2))</f>
        <v/>
      </c>
      <c r="L146" s="18" t="str">
        <f aca="false">IF(OR(AND($A146="",$B146="",$C146="",$D146="",$E146="",$F146="",$G146="",$H146=""),NOT($S146="")),"",ROUND(ROUND($C146*$G146,9),2))</f>
        <v/>
      </c>
      <c r="M146" s="19" t="str">
        <f aca="false">IF(OR(AND($A146="",$B146="",$C146="",$D146="",$E146="",$F146="",$G146="",$H146=""),NOT($S146="")),"",ROUND($J146+$K146+$L146+$H146,2))</f>
        <v/>
      </c>
      <c r="N146" s="19" t="str">
        <f aca="false">IF(OR(AND($A146="",$B146="",$C146="",$D146="",$E146="",$F146="",$G146="",$H146=""),NOT($S146="")),"",ROUND($B146-$M146,2))</f>
        <v/>
      </c>
      <c r="O146" s="20" t="str">
        <f aca="false">IF(OR(AND($A146="",$B146="",$C146="",$D146="",$E146="",$F146="",$G146="",$H146=""),NOT($S146="")),"",IF($B146=0,"n/a",INT(ROUND($N146/$B146*10000,6))/10000))</f>
        <v/>
      </c>
      <c r="P146" s="18" t="str">
        <f aca="false">IF(OR(AND($A146="",$B146="",$C146="",$D146="",$E146="",$F146="",$G146="",$H146=""),NOT($S146="")),"",ROUNDUP(ROUND($M146*10000/(10000-TargetH),9),2))</f>
        <v/>
      </c>
      <c r="Q146" s="18" t="str">
        <f aca="false">IF(OR(AND($A146="",$B146="",$C146="",$D146="",$E146="",$F146="",$G146="",$H146=""),NOT($S146="")),"",MAX(0,ROUND($P146-$B146,2)))</f>
        <v/>
      </c>
      <c r="R146" s="21" t="str">
        <f aca="false">IF(AND($A146="",$B146="",$C146="",$D146="",$E146="",$F146="",$G146="",$H146=""),"",IF(NOT($S146=""),"Check inputs",IF($B146=0,"No fee entered",IF($N146&lt;0,"Losing money on entered costs",IF(ROUND($N146*100,0)*10000&lt;TargetH*ROUND($B146*100,0),"Below your target","Meets your target")))))</f>
        <v/>
      </c>
      <c r="S146" s="22" t="str">
        <f aca="false">IF(AND($A146="",$B146="",$C146="",$D146="",$E146="",$F146="",$G146="",$H146=""),"",TRIM(IF($A146="","Customer/site label is missing. ","")&amp;IF($B146="","Monthly fee is missing. ",IF(NOT(ISNUMBER($B146)),"Monthly fee must be a number. ",IF($B146&lt;0,"Monthly fee can't be negative. ",IF(ROUND($B146,2)&lt;&gt;$B146,"Monthly fee: use up to 2 decimal places. ",IF($B146&gt;99999.99,"Monthly fee: use 99,999.99 or less. ","")))))&amp;IF($C146="","Visits per month is missing. ",IF(NOT(ISNUMBER($C146)),"Visits per month must be a number. ",IF($C146&lt;0,"Visits per month can't be negative. ",IF(ROUND($C146,3)&lt;&gt;$C146,"Visits per month: use up to 3 decimal places. ",IF($C146=0,"Visits per month must be more than 0. ",IF($C146&gt;31,"Visits per month: use 31 or less. ",""))))))&amp;IF($D146="","Service minutes per visit is missing. ",IF(NOT(ISNUMBER($D146)),"Service minutes per visit must be a number. ",IF($D146&lt;0,"Service minutes per visit can't be negative. ",IF(ROUND($D146,2)&lt;&gt;$D146,"Service minutes per visit: use up to 2 decimal places. ",IF($D146=0,"Service minutes per visit must be more than 0. ",IF($D146&gt;600,"Service minutes per visit: use 600 or less. ",""))))))&amp;IF($E146="","Drive minutes per visit is missing. ",IF(NOT(ISNUMBER($E146)),"Drive minutes per visit must be a number. ",IF($E146&lt;0,"Drive minutes per visit can't be negative. ",IF(ROUND($E146,2)&lt;&gt;$E146,"Drive minutes per visit: use up to 2 decimal places. ",IF($E146&gt;600,"Drive minutes per visit: use 600 or less. ","")))))&amp;IF($F146="","Drive miles per visit is missing. ",IF(NOT(ISNUMBER($F146)),"Drive miles per visit must be a number. ",IF($F146&lt;0,"Drive miles per visit can't be negative. ",IF(ROUND($F146,2)&lt;&gt;$F146,"Drive miles per visit: use up to 2 decimal places. ",IF($F146&gt;1000,"Drive miles per visit: use 1,000 or less. ","")))))&amp;IF($G146="","Chemicals per visit is missing. ",IF(NOT(ISNUMBER($G146)),"Chemicals per visit must be a number. ",IF($G146&lt;0,"Chemicals per visit can't be negative. ",IF(ROUND($G146,2)&lt;&gt;$G146,"Chemicals per visit: use up to 2 decimal places. ",IF($G146&gt;9999.99,"Chemicals per visit: use 9,999.99 or less. ","")))))&amp;IF($H146="","Other monthly costs is missing. ",IF(NOT(ISNUMBER($H146)),"Other monthly costs must be a number. ",IF($H146&lt;0,"Other monthly costs can't be negative. ",IF(ROUND($H146,2)&lt;&gt;$H146,"Other monthly costs: use up to 2 decimal places. ",IF($H146&gt;99999.99,"Other monthly costs: use 99,999.99 or less. ","")))))&amp;IF(SettingsOK,"","Settings incomplete.")))</f>
        <v/>
      </c>
      <c r="T146" s="23" t="str">
        <f aca="false">IF(AND($A146="",$B146="",$C146="",$D146="",$E146="",$F146="",$G146="",$H146=""),"",IF(Review!$B$5="Check inputs",IF($R146="Check inputs",ROW(),""),IF($R146="Check inputs",IF(Review!$B$5="All accounts",-2000000000000000+ROW(),""),IF(AND(Review!$B$5="Needs review",$R146="Meets your target"),"",IF($R146="No fee entered",-1000000000000000+ROW(),$N146/$B146+ROW()/1000000000)))))</f>
        <v/>
      </c>
    </row>
    <row r="147" customFormat="false" ht="15" hidden="false" customHeight="false" outlineLevel="0" collapsed="false">
      <c r="A147" s="14"/>
      <c r="B147" s="15"/>
      <c r="C147" s="16"/>
      <c r="D147" s="14"/>
      <c r="E147" s="14"/>
      <c r="F147" s="14"/>
      <c r="G147" s="15"/>
      <c r="H147" s="15"/>
      <c r="I147" s="17" t="str">
        <f aca="false">IF(OR(AND($A147="",$B147="",$C147="",$D147="",$E147="",$F147="",$G147="",$H147=""),NOT($S147="")),"",ROUND($C147*($D147+$E147)/60,4))</f>
        <v/>
      </c>
      <c r="J147" s="18" t="str">
        <f aca="false">IF(OR(AND($A147="",$B147="",$C147="",$D147="",$E147="",$F147="",$G147="",$H147=""),NOT($S147="")),"",ROUND(ROUND($C147*($D147+$E147)/60*$B$5,9),2))</f>
        <v/>
      </c>
      <c r="K147" s="18" t="str">
        <f aca="false">IF(OR(AND($A147="",$B147="",$C147="",$D147="",$E147="",$F147="",$G147="",$H147=""),NOT($S147="")),"",ROUND(ROUND($C147*$F147*$B$6,9),2))</f>
        <v/>
      </c>
      <c r="L147" s="18" t="str">
        <f aca="false">IF(OR(AND($A147="",$B147="",$C147="",$D147="",$E147="",$F147="",$G147="",$H147=""),NOT($S147="")),"",ROUND(ROUND($C147*$G147,9),2))</f>
        <v/>
      </c>
      <c r="M147" s="19" t="str">
        <f aca="false">IF(OR(AND($A147="",$B147="",$C147="",$D147="",$E147="",$F147="",$G147="",$H147=""),NOT($S147="")),"",ROUND($J147+$K147+$L147+$H147,2))</f>
        <v/>
      </c>
      <c r="N147" s="19" t="str">
        <f aca="false">IF(OR(AND($A147="",$B147="",$C147="",$D147="",$E147="",$F147="",$G147="",$H147=""),NOT($S147="")),"",ROUND($B147-$M147,2))</f>
        <v/>
      </c>
      <c r="O147" s="20" t="str">
        <f aca="false">IF(OR(AND($A147="",$B147="",$C147="",$D147="",$E147="",$F147="",$G147="",$H147=""),NOT($S147="")),"",IF($B147=0,"n/a",INT(ROUND($N147/$B147*10000,6))/10000))</f>
        <v/>
      </c>
      <c r="P147" s="18" t="str">
        <f aca="false">IF(OR(AND($A147="",$B147="",$C147="",$D147="",$E147="",$F147="",$G147="",$H147=""),NOT($S147="")),"",ROUNDUP(ROUND($M147*10000/(10000-TargetH),9),2))</f>
        <v/>
      </c>
      <c r="Q147" s="18" t="str">
        <f aca="false">IF(OR(AND($A147="",$B147="",$C147="",$D147="",$E147="",$F147="",$G147="",$H147=""),NOT($S147="")),"",MAX(0,ROUND($P147-$B147,2)))</f>
        <v/>
      </c>
      <c r="R147" s="21" t="str">
        <f aca="false">IF(AND($A147="",$B147="",$C147="",$D147="",$E147="",$F147="",$G147="",$H147=""),"",IF(NOT($S147=""),"Check inputs",IF($B147=0,"No fee entered",IF($N147&lt;0,"Losing money on entered costs",IF(ROUND($N147*100,0)*10000&lt;TargetH*ROUND($B147*100,0),"Below your target","Meets your target")))))</f>
        <v/>
      </c>
      <c r="S147" s="22" t="str">
        <f aca="false">IF(AND($A147="",$B147="",$C147="",$D147="",$E147="",$F147="",$G147="",$H147=""),"",TRIM(IF($A147="","Customer/site label is missing. ","")&amp;IF($B147="","Monthly fee is missing. ",IF(NOT(ISNUMBER($B147)),"Monthly fee must be a number. ",IF($B147&lt;0,"Monthly fee can't be negative. ",IF(ROUND($B147,2)&lt;&gt;$B147,"Monthly fee: use up to 2 decimal places. ",IF($B147&gt;99999.99,"Monthly fee: use 99,999.99 or less. ","")))))&amp;IF($C147="","Visits per month is missing. ",IF(NOT(ISNUMBER($C147)),"Visits per month must be a number. ",IF($C147&lt;0,"Visits per month can't be negative. ",IF(ROUND($C147,3)&lt;&gt;$C147,"Visits per month: use up to 3 decimal places. ",IF($C147=0,"Visits per month must be more than 0. ",IF($C147&gt;31,"Visits per month: use 31 or less. ",""))))))&amp;IF($D147="","Service minutes per visit is missing. ",IF(NOT(ISNUMBER($D147)),"Service minutes per visit must be a number. ",IF($D147&lt;0,"Service minutes per visit can't be negative. ",IF(ROUND($D147,2)&lt;&gt;$D147,"Service minutes per visit: use up to 2 decimal places. ",IF($D147=0,"Service minutes per visit must be more than 0. ",IF($D147&gt;600,"Service minutes per visit: use 600 or less. ",""))))))&amp;IF($E147="","Drive minutes per visit is missing. ",IF(NOT(ISNUMBER($E147)),"Drive minutes per visit must be a number. ",IF($E147&lt;0,"Drive minutes per visit can't be negative. ",IF(ROUND($E147,2)&lt;&gt;$E147,"Drive minutes per visit: use up to 2 decimal places. ",IF($E147&gt;600,"Drive minutes per visit: use 600 or less. ","")))))&amp;IF($F147="","Drive miles per visit is missing. ",IF(NOT(ISNUMBER($F147)),"Drive miles per visit must be a number. ",IF($F147&lt;0,"Drive miles per visit can't be negative. ",IF(ROUND($F147,2)&lt;&gt;$F147,"Drive miles per visit: use up to 2 decimal places. ",IF($F147&gt;1000,"Drive miles per visit: use 1,000 or less. ","")))))&amp;IF($G147="","Chemicals per visit is missing. ",IF(NOT(ISNUMBER($G147)),"Chemicals per visit must be a number. ",IF($G147&lt;0,"Chemicals per visit can't be negative. ",IF(ROUND($G147,2)&lt;&gt;$G147,"Chemicals per visit: use up to 2 decimal places. ",IF($G147&gt;9999.99,"Chemicals per visit: use 9,999.99 or less. ","")))))&amp;IF($H147="","Other monthly costs is missing. ",IF(NOT(ISNUMBER($H147)),"Other monthly costs must be a number. ",IF($H147&lt;0,"Other monthly costs can't be negative. ",IF(ROUND($H147,2)&lt;&gt;$H147,"Other monthly costs: use up to 2 decimal places. ",IF($H147&gt;99999.99,"Other monthly costs: use 99,999.99 or less. ","")))))&amp;IF(SettingsOK,"","Settings incomplete.")))</f>
        <v/>
      </c>
      <c r="T147" s="23" t="str">
        <f aca="false">IF(AND($A147="",$B147="",$C147="",$D147="",$E147="",$F147="",$G147="",$H147=""),"",IF(Review!$B$5="Check inputs",IF($R147="Check inputs",ROW(),""),IF($R147="Check inputs",IF(Review!$B$5="All accounts",-2000000000000000+ROW(),""),IF(AND(Review!$B$5="Needs review",$R147="Meets your target"),"",IF($R147="No fee entered",-1000000000000000+ROW(),$N147/$B147+ROW()/1000000000)))))</f>
        <v/>
      </c>
    </row>
    <row r="148" customFormat="false" ht="15" hidden="false" customHeight="false" outlineLevel="0" collapsed="false">
      <c r="A148" s="14"/>
      <c r="B148" s="15"/>
      <c r="C148" s="16"/>
      <c r="D148" s="14"/>
      <c r="E148" s="14"/>
      <c r="F148" s="14"/>
      <c r="G148" s="15"/>
      <c r="H148" s="15"/>
      <c r="I148" s="17" t="str">
        <f aca="false">IF(OR(AND($A148="",$B148="",$C148="",$D148="",$E148="",$F148="",$G148="",$H148=""),NOT($S148="")),"",ROUND($C148*($D148+$E148)/60,4))</f>
        <v/>
      </c>
      <c r="J148" s="18" t="str">
        <f aca="false">IF(OR(AND($A148="",$B148="",$C148="",$D148="",$E148="",$F148="",$G148="",$H148=""),NOT($S148="")),"",ROUND(ROUND($C148*($D148+$E148)/60*$B$5,9),2))</f>
        <v/>
      </c>
      <c r="K148" s="18" t="str">
        <f aca="false">IF(OR(AND($A148="",$B148="",$C148="",$D148="",$E148="",$F148="",$G148="",$H148=""),NOT($S148="")),"",ROUND(ROUND($C148*$F148*$B$6,9),2))</f>
        <v/>
      </c>
      <c r="L148" s="18" t="str">
        <f aca="false">IF(OR(AND($A148="",$B148="",$C148="",$D148="",$E148="",$F148="",$G148="",$H148=""),NOT($S148="")),"",ROUND(ROUND($C148*$G148,9),2))</f>
        <v/>
      </c>
      <c r="M148" s="19" t="str">
        <f aca="false">IF(OR(AND($A148="",$B148="",$C148="",$D148="",$E148="",$F148="",$G148="",$H148=""),NOT($S148="")),"",ROUND($J148+$K148+$L148+$H148,2))</f>
        <v/>
      </c>
      <c r="N148" s="19" t="str">
        <f aca="false">IF(OR(AND($A148="",$B148="",$C148="",$D148="",$E148="",$F148="",$G148="",$H148=""),NOT($S148="")),"",ROUND($B148-$M148,2))</f>
        <v/>
      </c>
      <c r="O148" s="20" t="str">
        <f aca="false">IF(OR(AND($A148="",$B148="",$C148="",$D148="",$E148="",$F148="",$G148="",$H148=""),NOT($S148="")),"",IF($B148=0,"n/a",INT(ROUND($N148/$B148*10000,6))/10000))</f>
        <v/>
      </c>
      <c r="P148" s="18" t="str">
        <f aca="false">IF(OR(AND($A148="",$B148="",$C148="",$D148="",$E148="",$F148="",$G148="",$H148=""),NOT($S148="")),"",ROUNDUP(ROUND($M148*10000/(10000-TargetH),9),2))</f>
        <v/>
      </c>
      <c r="Q148" s="18" t="str">
        <f aca="false">IF(OR(AND($A148="",$B148="",$C148="",$D148="",$E148="",$F148="",$G148="",$H148=""),NOT($S148="")),"",MAX(0,ROUND($P148-$B148,2)))</f>
        <v/>
      </c>
      <c r="R148" s="21" t="str">
        <f aca="false">IF(AND($A148="",$B148="",$C148="",$D148="",$E148="",$F148="",$G148="",$H148=""),"",IF(NOT($S148=""),"Check inputs",IF($B148=0,"No fee entered",IF($N148&lt;0,"Losing money on entered costs",IF(ROUND($N148*100,0)*10000&lt;TargetH*ROUND($B148*100,0),"Below your target","Meets your target")))))</f>
        <v/>
      </c>
      <c r="S148" s="22" t="str">
        <f aca="false">IF(AND($A148="",$B148="",$C148="",$D148="",$E148="",$F148="",$G148="",$H148=""),"",TRIM(IF($A148="","Customer/site label is missing. ","")&amp;IF($B148="","Monthly fee is missing. ",IF(NOT(ISNUMBER($B148)),"Monthly fee must be a number. ",IF($B148&lt;0,"Monthly fee can't be negative. ",IF(ROUND($B148,2)&lt;&gt;$B148,"Monthly fee: use up to 2 decimal places. ",IF($B148&gt;99999.99,"Monthly fee: use 99,999.99 or less. ","")))))&amp;IF($C148="","Visits per month is missing. ",IF(NOT(ISNUMBER($C148)),"Visits per month must be a number. ",IF($C148&lt;0,"Visits per month can't be negative. ",IF(ROUND($C148,3)&lt;&gt;$C148,"Visits per month: use up to 3 decimal places. ",IF($C148=0,"Visits per month must be more than 0. ",IF($C148&gt;31,"Visits per month: use 31 or less. ",""))))))&amp;IF($D148="","Service minutes per visit is missing. ",IF(NOT(ISNUMBER($D148)),"Service minutes per visit must be a number. ",IF($D148&lt;0,"Service minutes per visit can't be negative. ",IF(ROUND($D148,2)&lt;&gt;$D148,"Service minutes per visit: use up to 2 decimal places. ",IF($D148=0,"Service minutes per visit must be more than 0. ",IF($D148&gt;600,"Service minutes per visit: use 600 or less. ",""))))))&amp;IF($E148="","Drive minutes per visit is missing. ",IF(NOT(ISNUMBER($E148)),"Drive minutes per visit must be a number. ",IF($E148&lt;0,"Drive minutes per visit can't be negative. ",IF(ROUND($E148,2)&lt;&gt;$E148,"Drive minutes per visit: use up to 2 decimal places. ",IF($E148&gt;600,"Drive minutes per visit: use 600 or less. ","")))))&amp;IF($F148="","Drive miles per visit is missing. ",IF(NOT(ISNUMBER($F148)),"Drive miles per visit must be a number. ",IF($F148&lt;0,"Drive miles per visit can't be negative. ",IF(ROUND($F148,2)&lt;&gt;$F148,"Drive miles per visit: use up to 2 decimal places. ",IF($F148&gt;1000,"Drive miles per visit: use 1,000 or less. ","")))))&amp;IF($G148="","Chemicals per visit is missing. ",IF(NOT(ISNUMBER($G148)),"Chemicals per visit must be a number. ",IF($G148&lt;0,"Chemicals per visit can't be negative. ",IF(ROUND($G148,2)&lt;&gt;$G148,"Chemicals per visit: use up to 2 decimal places. ",IF($G148&gt;9999.99,"Chemicals per visit: use 9,999.99 or less. ","")))))&amp;IF($H148="","Other monthly costs is missing. ",IF(NOT(ISNUMBER($H148)),"Other monthly costs must be a number. ",IF($H148&lt;0,"Other monthly costs can't be negative. ",IF(ROUND($H148,2)&lt;&gt;$H148,"Other monthly costs: use up to 2 decimal places. ",IF($H148&gt;99999.99,"Other monthly costs: use 99,999.99 or less. ","")))))&amp;IF(SettingsOK,"","Settings incomplete.")))</f>
        <v/>
      </c>
      <c r="T148" s="23" t="str">
        <f aca="false">IF(AND($A148="",$B148="",$C148="",$D148="",$E148="",$F148="",$G148="",$H148=""),"",IF(Review!$B$5="Check inputs",IF($R148="Check inputs",ROW(),""),IF($R148="Check inputs",IF(Review!$B$5="All accounts",-2000000000000000+ROW(),""),IF(AND(Review!$B$5="Needs review",$R148="Meets your target"),"",IF($R148="No fee entered",-1000000000000000+ROW(),$N148/$B148+ROW()/1000000000)))))</f>
        <v/>
      </c>
    </row>
    <row r="149" customFormat="false" ht="15" hidden="false" customHeight="false" outlineLevel="0" collapsed="false">
      <c r="A149" s="14"/>
      <c r="B149" s="15"/>
      <c r="C149" s="16"/>
      <c r="D149" s="14"/>
      <c r="E149" s="14"/>
      <c r="F149" s="14"/>
      <c r="G149" s="15"/>
      <c r="H149" s="15"/>
      <c r="I149" s="17" t="str">
        <f aca="false">IF(OR(AND($A149="",$B149="",$C149="",$D149="",$E149="",$F149="",$G149="",$H149=""),NOT($S149="")),"",ROUND($C149*($D149+$E149)/60,4))</f>
        <v/>
      </c>
      <c r="J149" s="18" t="str">
        <f aca="false">IF(OR(AND($A149="",$B149="",$C149="",$D149="",$E149="",$F149="",$G149="",$H149=""),NOT($S149="")),"",ROUND(ROUND($C149*($D149+$E149)/60*$B$5,9),2))</f>
        <v/>
      </c>
      <c r="K149" s="18" t="str">
        <f aca="false">IF(OR(AND($A149="",$B149="",$C149="",$D149="",$E149="",$F149="",$G149="",$H149=""),NOT($S149="")),"",ROUND(ROUND($C149*$F149*$B$6,9),2))</f>
        <v/>
      </c>
      <c r="L149" s="18" t="str">
        <f aca="false">IF(OR(AND($A149="",$B149="",$C149="",$D149="",$E149="",$F149="",$G149="",$H149=""),NOT($S149="")),"",ROUND(ROUND($C149*$G149,9),2))</f>
        <v/>
      </c>
      <c r="M149" s="19" t="str">
        <f aca="false">IF(OR(AND($A149="",$B149="",$C149="",$D149="",$E149="",$F149="",$G149="",$H149=""),NOT($S149="")),"",ROUND($J149+$K149+$L149+$H149,2))</f>
        <v/>
      </c>
      <c r="N149" s="19" t="str">
        <f aca="false">IF(OR(AND($A149="",$B149="",$C149="",$D149="",$E149="",$F149="",$G149="",$H149=""),NOT($S149="")),"",ROUND($B149-$M149,2))</f>
        <v/>
      </c>
      <c r="O149" s="20" t="str">
        <f aca="false">IF(OR(AND($A149="",$B149="",$C149="",$D149="",$E149="",$F149="",$G149="",$H149=""),NOT($S149="")),"",IF($B149=0,"n/a",INT(ROUND($N149/$B149*10000,6))/10000))</f>
        <v/>
      </c>
      <c r="P149" s="18" t="str">
        <f aca="false">IF(OR(AND($A149="",$B149="",$C149="",$D149="",$E149="",$F149="",$G149="",$H149=""),NOT($S149="")),"",ROUNDUP(ROUND($M149*10000/(10000-TargetH),9),2))</f>
        <v/>
      </c>
      <c r="Q149" s="18" t="str">
        <f aca="false">IF(OR(AND($A149="",$B149="",$C149="",$D149="",$E149="",$F149="",$G149="",$H149=""),NOT($S149="")),"",MAX(0,ROUND($P149-$B149,2)))</f>
        <v/>
      </c>
      <c r="R149" s="21" t="str">
        <f aca="false">IF(AND($A149="",$B149="",$C149="",$D149="",$E149="",$F149="",$G149="",$H149=""),"",IF(NOT($S149=""),"Check inputs",IF($B149=0,"No fee entered",IF($N149&lt;0,"Losing money on entered costs",IF(ROUND($N149*100,0)*10000&lt;TargetH*ROUND($B149*100,0),"Below your target","Meets your target")))))</f>
        <v/>
      </c>
      <c r="S149" s="22" t="str">
        <f aca="false">IF(AND($A149="",$B149="",$C149="",$D149="",$E149="",$F149="",$G149="",$H149=""),"",TRIM(IF($A149="","Customer/site label is missing. ","")&amp;IF($B149="","Monthly fee is missing. ",IF(NOT(ISNUMBER($B149)),"Monthly fee must be a number. ",IF($B149&lt;0,"Monthly fee can't be negative. ",IF(ROUND($B149,2)&lt;&gt;$B149,"Monthly fee: use up to 2 decimal places. ",IF($B149&gt;99999.99,"Monthly fee: use 99,999.99 or less. ","")))))&amp;IF($C149="","Visits per month is missing. ",IF(NOT(ISNUMBER($C149)),"Visits per month must be a number. ",IF($C149&lt;0,"Visits per month can't be negative. ",IF(ROUND($C149,3)&lt;&gt;$C149,"Visits per month: use up to 3 decimal places. ",IF($C149=0,"Visits per month must be more than 0. ",IF($C149&gt;31,"Visits per month: use 31 or less. ",""))))))&amp;IF($D149="","Service minutes per visit is missing. ",IF(NOT(ISNUMBER($D149)),"Service minutes per visit must be a number. ",IF($D149&lt;0,"Service minutes per visit can't be negative. ",IF(ROUND($D149,2)&lt;&gt;$D149,"Service minutes per visit: use up to 2 decimal places. ",IF($D149=0,"Service minutes per visit must be more than 0. ",IF($D149&gt;600,"Service minutes per visit: use 600 or less. ",""))))))&amp;IF($E149="","Drive minutes per visit is missing. ",IF(NOT(ISNUMBER($E149)),"Drive minutes per visit must be a number. ",IF($E149&lt;0,"Drive minutes per visit can't be negative. ",IF(ROUND($E149,2)&lt;&gt;$E149,"Drive minutes per visit: use up to 2 decimal places. ",IF($E149&gt;600,"Drive minutes per visit: use 600 or less. ","")))))&amp;IF($F149="","Drive miles per visit is missing. ",IF(NOT(ISNUMBER($F149)),"Drive miles per visit must be a number. ",IF($F149&lt;0,"Drive miles per visit can't be negative. ",IF(ROUND($F149,2)&lt;&gt;$F149,"Drive miles per visit: use up to 2 decimal places. ",IF($F149&gt;1000,"Drive miles per visit: use 1,000 or less. ","")))))&amp;IF($G149="","Chemicals per visit is missing. ",IF(NOT(ISNUMBER($G149)),"Chemicals per visit must be a number. ",IF($G149&lt;0,"Chemicals per visit can't be negative. ",IF(ROUND($G149,2)&lt;&gt;$G149,"Chemicals per visit: use up to 2 decimal places. ",IF($G149&gt;9999.99,"Chemicals per visit: use 9,999.99 or less. ","")))))&amp;IF($H149="","Other monthly costs is missing. ",IF(NOT(ISNUMBER($H149)),"Other monthly costs must be a number. ",IF($H149&lt;0,"Other monthly costs can't be negative. ",IF(ROUND($H149,2)&lt;&gt;$H149,"Other monthly costs: use up to 2 decimal places. ",IF($H149&gt;99999.99,"Other monthly costs: use 99,999.99 or less. ","")))))&amp;IF(SettingsOK,"","Settings incomplete.")))</f>
        <v/>
      </c>
      <c r="T149" s="23" t="str">
        <f aca="false">IF(AND($A149="",$B149="",$C149="",$D149="",$E149="",$F149="",$G149="",$H149=""),"",IF(Review!$B$5="Check inputs",IF($R149="Check inputs",ROW(),""),IF($R149="Check inputs",IF(Review!$B$5="All accounts",-2000000000000000+ROW(),""),IF(AND(Review!$B$5="Needs review",$R149="Meets your target"),"",IF($R149="No fee entered",-1000000000000000+ROW(),$N149/$B149+ROW()/1000000000)))))</f>
        <v/>
      </c>
    </row>
    <row r="150" customFormat="false" ht="15" hidden="false" customHeight="false" outlineLevel="0" collapsed="false">
      <c r="A150" s="14"/>
      <c r="B150" s="15"/>
      <c r="C150" s="16"/>
      <c r="D150" s="14"/>
      <c r="E150" s="14"/>
      <c r="F150" s="14"/>
      <c r="G150" s="15"/>
      <c r="H150" s="15"/>
      <c r="I150" s="17" t="str">
        <f aca="false">IF(OR(AND($A150="",$B150="",$C150="",$D150="",$E150="",$F150="",$G150="",$H150=""),NOT($S150="")),"",ROUND($C150*($D150+$E150)/60,4))</f>
        <v/>
      </c>
      <c r="J150" s="18" t="str">
        <f aca="false">IF(OR(AND($A150="",$B150="",$C150="",$D150="",$E150="",$F150="",$G150="",$H150=""),NOT($S150="")),"",ROUND(ROUND($C150*($D150+$E150)/60*$B$5,9),2))</f>
        <v/>
      </c>
      <c r="K150" s="18" t="str">
        <f aca="false">IF(OR(AND($A150="",$B150="",$C150="",$D150="",$E150="",$F150="",$G150="",$H150=""),NOT($S150="")),"",ROUND(ROUND($C150*$F150*$B$6,9),2))</f>
        <v/>
      </c>
      <c r="L150" s="18" t="str">
        <f aca="false">IF(OR(AND($A150="",$B150="",$C150="",$D150="",$E150="",$F150="",$G150="",$H150=""),NOT($S150="")),"",ROUND(ROUND($C150*$G150,9),2))</f>
        <v/>
      </c>
      <c r="M150" s="19" t="str">
        <f aca="false">IF(OR(AND($A150="",$B150="",$C150="",$D150="",$E150="",$F150="",$G150="",$H150=""),NOT($S150="")),"",ROUND($J150+$K150+$L150+$H150,2))</f>
        <v/>
      </c>
      <c r="N150" s="19" t="str">
        <f aca="false">IF(OR(AND($A150="",$B150="",$C150="",$D150="",$E150="",$F150="",$G150="",$H150=""),NOT($S150="")),"",ROUND($B150-$M150,2))</f>
        <v/>
      </c>
      <c r="O150" s="20" t="str">
        <f aca="false">IF(OR(AND($A150="",$B150="",$C150="",$D150="",$E150="",$F150="",$G150="",$H150=""),NOT($S150="")),"",IF($B150=0,"n/a",INT(ROUND($N150/$B150*10000,6))/10000))</f>
        <v/>
      </c>
      <c r="P150" s="18" t="str">
        <f aca="false">IF(OR(AND($A150="",$B150="",$C150="",$D150="",$E150="",$F150="",$G150="",$H150=""),NOT($S150="")),"",ROUNDUP(ROUND($M150*10000/(10000-TargetH),9),2))</f>
        <v/>
      </c>
      <c r="Q150" s="18" t="str">
        <f aca="false">IF(OR(AND($A150="",$B150="",$C150="",$D150="",$E150="",$F150="",$G150="",$H150=""),NOT($S150="")),"",MAX(0,ROUND($P150-$B150,2)))</f>
        <v/>
      </c>
      <c r="R150" s="21" t="str">
        <f aca="false">IF(AND($A150="",$B150="",$C150="",$D150="",$E150="",$F150="",$G150="",$H150=""),"",IF(NOT($S150=""),"Check inputs",IF($B150=0,"No fee entered",IF($N150&lt;0,"Losing money on entered costs",IF(ROUND($N150*100,0)*10000&lt;TargetH*ROUND($B150*100,0),"Below your target","Meets your target")))))</f>
        <v/>
      </c>
      <c r="S150" s="22" t="str">
        <f aca="false">IF(AND($A150="",$B150="",$C150="",$D150="",$E150="",$F150="",$G150="",$H150=""),"",TRIM(IF($A150="","Customer/site label is missing. ","")&amp;IF($B150="","Monthly fee is missing. ",IF(NOT(ISNUMBER($B150)),"Monthly fee must be a number. ",IF($B150&lt;0,"Monthly fee can't be negative. ",IF(ROUND($B150,2)&lt;&gt;$B150,"Monthly fee: use up to 2 decimal places. ",IF($B150&gt;99999.99,"Monthly fee: use 99,999.99 or less. ","")))))&amp;IF($C150="","Visits per month is missing. ",IF(NOT(ISNUMBER($C150)),"Visits per month must be a number. ",IF($C150&lt;0,"Visits per month can't be negative. ",IF(ROUND($C150,3)&lt;&gt;$C150,"Visits per month: use up to 3 decimal places. ",IF($C150=0,"Visits per month must be more than 0. ",IF($C150&gt;31,"Visits per month: use 31 or less. ",""))))))&amp;IF($D150="","Service minutes per visit is missing. ",IF(NOT(ISNUMBER($D150)),"Service minutes per visit must be a number. ",IF($D150&lt;0,"Service minutes per visit can't be negative. ",IF(ROUND($D150,2)&lt;&gt;$D150,"Service minutes per visit: use up to 2 decimal places. ",IF($D150=0,"Service minutes per visit must be more than 0. ",IF($D150&gt;600,"Service minutes per visit: use 600 or less. ",""))))))&amp;IF($E150="","Drive minutes per visit is missing. ",IF(NOT(ISNUMBER($E150)),"Drive minutes per visit must be a number. ",IF($E150&lt;0,"Drive minutes per visit can't be negative. ",IF(ROUND($E150,2)&lt;&gt;$E150,"Drive minutes per visit: use up to 2 decimal places. ",IF($E150&gt;600,"Drive minutes per visit: use 600 or less. ","")))))&amp;IF($F150="","Drive miles per visit is missing. ",IF(NOT(ISNUMBER($F150)),"Drive miles per visit must be a number. ",IF($F150&lt;0,"Drive miles per visit can't be negative. ",IF(ROUND($F150,2)&lt;&gt;$F150,"Drive miles per visit: use up to 2 decimal places. ",IF($F150&gt;1000,"Drive miles per visit: use 1,000 or less. ","")))))&amp;IF($G150="","Chemicals per visit is missing. ",IF(NOT(ISNUMBER($G150)),"Chemicals per visit must be a number. ",IF($G150&lt;0,"Chemicals per visit can't be negative. ",IF(ROUND($G150,2)&lt;&gt;$G150,"Chemicals per visit: use up to 2 decimal places. ",IF($G150&gt;9999.99,"Chemicals per visit: use 9,999.99 or less. ","")))))&amp;IF($H150="","Other monthly costs is missing. ",IF(NOT(ISNUMBER($H150)),"Other monthly costs must be a number. ",IF($H150&lt;0,"Other monthly costs can't be negative. ",IF(ROUND($H150,2)&lt;&gt;$H150,"Other monthly costs: use up to 2 decimal places. ",IF($H150&gt;99999.99,"Other monthly costs: use 99,999.99 or less. ","")))))&amp;IF(SettingsOK,"","Settings incomplete.")))</f>
        <v/>
      </c>
      <c r="T150" s="23" t="str">
        <f aca="false">IF(AND($A150="",$B150="",$C150="",$D150="",$E150="",$F150="",$G150="",$H150=""),"",IF(Review!$B$5="Check inputs",IF($R150="Check inputs",ROW(),""),IF($R150="Check inputs",IF(Review!$B$5="All accounts",-2000000000000000+ROW(),""),IF(AND(Review!$B$5="Needs review",$R150="Meets your target"),"",IF($R150="No fee entered",-1000000000000000+ROW(),$N150/$B150+ROW()/1000000000)))))</f>
        <v/>
      </c>
    </row>
    <row r="151" customFormat="false" ht="15" hidden="false" customHeight="false" outlineLevel="0" collapsed="false">
      <c r="A151" s="14"/>
      <c r="B151" s="15"/>
      <c r="C151" s="16"/>
      <c r="D151" s="14"/>
      <c r="E151" s="14"/>
      <c r="F151" s="14"/>
      <c r="G151" s="15"/>
      <c r="H151" s="15"/>
      <c r="I151" s="17" t="str">
        <f aca="false">IF(OR(AND($A151="",$B151="",$C151="",$D151="",$E151="",$F151="",$G151="",$H151=""),NOT($S151="")),"",ROUND($C151*($D151+$E151)/60,4))</f>
        <v/>
      </c>
      <c r="J151" s="18" t="str">
        <f aca="false">IF(OR(AND($A151="",$B151="",$C151="",$D151="",$E151="",$F151="",$G151="",$H151=""),NOT($S151="")),"",ROUND(ROUND($C151*($D151+$E151)/60*$B$5,9),2))</f>
        <v/>
      </c>
      <c r="K151" s="18" t="str">
        <f aca="false">IF(OR(AND($A151="",$B151="",$C151="",$D151="",$E151="",$F151="",$G151="",$H151=""),NOT($S151="")),"",ROUND(ROUND($C151*$F151*$B$6,9),2))</f>
        <v/>
      </c>
      <c r="L151" s="18" t="str">
        <f aca="false">IF(OR(AND($A151="",$B151="",$C151="",$D151="",$E151="",$F151="",$G151="",$H151=""),NOT($S151="")),"",ROUND(ROUND($C151*$G151,9),2))</f>
        <v/>
      </c>
      <c r="M151" s="19" t="str">
        <f aca="false">IF(OR(AND($A151="",$B151="",$C151="",$D151="",$E151="",$F151="",$G151="",$H151=""),NOT($S151="")),"",ROUND($J151+$K151+$L151+$H151,2))</f>
        <v/>
      </c>
      <c r="N151" s="19" t="str">
        <f aca="false">IF(OR(AND($A151="",$B151="",$C151="",$D151="",$E151="",$F151="",$G151="",$H151=""),NOT($S151="")),"",ROUND($B151-$M151,2))</f>
        <v/>
      </c>
      <c r="O151" s="20" t="str">
        <f aca="false">IF(OR(AND($A151="",$B151="",$C151="",$D151="",$E151="",$F151="",$G151="",$H151=""),NOT($S151="")),"",IF($B151=0,"n/a",INT(ROUND($N151/$B151*10000,6))/10000))</f>
        <v/>
      </c>
      <c r="P151" s="18" t="str">
        <f aca="false">IF(OR(AND($A151="",$B151="",$C151="",$D151="",$E151="",$F151="",$G151="",$H151=""),NOT($S151="")),"",ROUNDUP(ROUND($M151*10000/(10000-TargetH),9),2))</f>
        <v/>
      </c>
      <c r="Q151" s="18" t="str">
        <f aca="false">IF(OR(AND($A151="",$B151="",$C151="",$D151="",$E151="",$F151="",$G151="",$H151=""),NOT($S151="")),"",MAX(0,ROUND($P151-$B151,2)))</f>
        <v/>
      </c>
      <c r="R151" s="21" t="str">
        <f aca="false">IF(AND($A151="",$B151="",$C151="",$D151="",$E151="",$F151="",$G151="",$H151=""),"",IF(NOT($S151=""),"Check inputs",IF($B151=0,"No fee entered",IF($N151&lt;0,"Losing money on entered costs",IF(ROUND($N151*100,0)*10000&lt;TargetH*ROUND($B151*100,0),"Below your target","Meets your target")))))</f>
        <v/>
      </c>
      <c r="S151" s="22" t="str">
        <f aca="false">IF(AND($A151="",$B151="",$C151="",$D151="",$E151="",$F151="",$G151="",$H151=""),"",TRIM(IF($A151="","Customer/site label is missing. ","")&amp;IF($B151="","Monthly fee is missing. ",IF(NOT(ISNUMBER($B151)),"Monthly fee must be a number. ",IF($B151&lt;0,"Monthly fee can't be negative. ",IF(ROUND($B151,2)&lt;&gt;$B151,"Monthly fee: use up to 2 decimal places. ",IF($B151&gt;99999.99,"Monthly fee: use 99,999.99 or less. ","")))))&amp;IF($C151="","Visits per month is missing. ",IF(NOT(ISNUMBER($C151)),"Visits per month must be a number. ",IF($C151&lt;0,"Visits per month can't be negative. ",IF(ROUND($C151,3)&lt;&gt;$C151,"Visits per month: use up to 3 decimal places. ",IF($C151=0,"Visits per month must be more than 0. ",IF($C151&gt;31,"Visits per month: use 31 or less. ",""))))))&amp;IF($D151="","Service minutes per visit is missing. ",IF(NOT(ISNUMBER($D151)),"Service minutes per visit must be a number. ",IF($D151&lt;0,"Service minutes per visit can't be negative. ",IF(ROUND($D151,2)&lt;&gt;$D151,"Service minutes per visit: use up to 2 decimal places. ",IF($D151=0,"Service minutes per visit must be more than 0. ",IF($D151&gt;600,"Service minutes per visit: use 600 or less. ",""))))))&amp;IF($E151="","Drive minutes per visit is missing. ",IF(NOT(ISNUMBER($E151)),"Drive minutes per visit must be a number. ",IF($E151&lt;0,"Drive minutes per visit can't be negative. ",IF(ROUND($E151,2)&lt;&gt;$E151,"Drive minutes per visit: use up to 2 decimal places. ",IF($E151&gt;600,"Drive minutes per visit: use 600 or less. ","")))))&amp;IF($F151="","Drive miles per visit is missing. ",IF(NOT(ISNUMBER($F151)),"Drive miles per visit must be a number. ",IF($F151&lt;0,"Drive miles per visit can't be negative. ",IF(ROUND($F151,2)&lt;&gt;$F151,"Drive miles per visit: use up to 2 decimal places. ",IF($F151&gt;1000,"Drive miles per visit: use 1,000 or less. ","")))))&amp;IF($G151="","Chemicals per visit is missing. ",IF(NOT(ISNUMBER($G151)),"Chemicals per visit must be a number. ",IF($G151&lt;0,"Chemicals per visit can't be negative. ",IF(ROUND($G151,2)&lt;&gt;$G151,"Chemicals per visit: use up to 2 decimal places. ",IF($G151&gt;9999.99,"Chemicals per visit: use 9,999.99 or less. ","")))))&amp;IF($H151="","Other monthly costs is missing. ",IF(NOT(ISNUMBER($H151)),"Other monthly costs must be a number. ",IF($H151&lt;0,"Other monthly costs can't be negative. ",IF(ROUND($H151,2)&lt;&gt;$H151,"Other monthly costs: use up to 2 decimal places. ",IF($H151&gt;99999.99,"Other monthly costs: use 99,999.99 or less. ","")))))&amp;IF(SettingsOK,"","Settings incomplete.")))</f>
        <v/>
      </c>
      <c r="T151" s="23" t="str">
        <f aca="false">IF(AND($A151="",$B151="",$C151="",$D151="",$E151="",$F151="",$G151="",$H151=""),"",IF(Review!$B$5="Check inputs",IF($R151="Check inputs",ROW(),""),IF($R151="Check inputs",IF(Review!$B$5="All accounts",-2000000000000000+ROW(),""),IF(AND(Review!$B$5="Needs review",$R151="Meets your target"),"",IF($R151="No fee entered",-1000000000000000+ROW(),$N151/$B151+ROW()/1000000000)))))</f>
        <v/>
      </c>
    </row>
    <row r="152" customFormat="false" ht="15" hidden="false" customHeight="false" outlineLevel="0" collapsed="false">
      <c r="A152" s="14"/>
      <c r="B152" s="15"/>
      <c r="C152" s="16"/>
      <c r="D152" s="14"/>
      <c r="E152" s="14"/>
      <c r="F152" s="14"/>
      <c r="G152" s="15"/>
      <c r="H152" s="15"/>
      <c r="I152" s="17" t="str">
        <f aca="false">IF(OR(AND($A152="",$B152="",$C152="",$D152="",$E152="",$F152="",$G152="",$H152=""),NOT($S152="")),"",ROUND($C152*($D152+$E152)/60,4))</f>
        <v/>
      </c>
      <c r="J152" s="18" t="str">
        <f aca="false">IF(OR(AND($A152="",$B152="",$C152="",$D152="",$E152="",$F152="",$G152="",$H152=""),NOT($S152="")),"",ROUND(ROUND($C152*($D152+$E152)/60*$B$5,9),2))</f>
        <v/>
      </c>
      <c r="K152" s="18" t="str">
        <f aca="false">IF(OR(AND($A152="",$B152="",$C152="",$D152="",$E152="",$F152="",$G152="",$H152=""),NOT($S152="")),"",ROUND(ROUND($C152*$F152*$B$6,9),2))</f>
        <v/>
      </c>
      <c r="L152" s="18" t="str">
        <f aca="false">IF(OR(AND($A152="",$B152="",$C152="",$D152="",$E152="",$F152="",$G152="",$H152=""),NOT($S152="")),"",ROUND(ROUND($C152*$G152,9),2))</f>
        <v/>
      </c>
      <c r="M152" s="19" t="str">
        <f aca="false">IF(OR(AND($A152="",$B152="",$C152="",$D152="",$E152="",$F152="",$G152="",$H152=""),NOT($S152="")),"",ROUND($J152+$K152+$L152+$H152,2))</f>
        <v/>
      </c>
      <c r="N152" s="19" t="str">
        <f aca="false">IF(OR(AND($A152="",$B152="",$C152="",$D152="",$E152="",$F152="",$G152="",$H152=""),NOT($S152="")),"",ROUND($B152-$M152,2))</f>
        <v/>
      </c>
      <c r="O152" s="20" t="str">
        <f aca="false">IF(OR(AND($A152="",$B152="",$C152="",$D152="",$E152="",$F152="",$G152="",$H152=""),NOT($S152="")),"",IF($B152=0,"n/a",INT(ROUND($N152/$B152*10000,6))/10000))</f>
        <v/>
      </c>
      <c r="P152" s="18" t="str">
        <f aca="false">IF(OR(AND($A152="",$B152="",$C152="",$D152="",$E152="",$F152="",$G152="",$H152=""),NOT($S152="")),"",ROUNDUP(ROUND($M152*10000/(10000-TargetH),9),2))</f>
        <v/>
      </c>
      <c r="Q152" s="18" t="str">
        <f aca="false">IF(OR(AND($A152="",$B152="",$C152="",$D152="",$E152="",$F152="",$G152="",$H152=""),NOT($S152="")),"",MAX(0,ROUND($P152-$B152,2)))</f>
        <v/>
      </c>
      <c r="R152" s="21" t="str">
        <f aca="false">IF(AND($A152="",$B152="",$C152="",$D152="",$E152="",$F152="",$G152="",$H152=""),"",IF(NOT($S152=""),"Check inputs",IF($B152=0,"No fee entered",IF($N152&lt;0,"Losing money on entered costs",IF(ROUND($N152*100,0)*10000&lt;TargetH*ROUND($B152*100,0),"Below your target","Meets your target")))))</f>
        <v/>
      </c>
      <c r="S152" s="22" t="str">
        <f aca="false">IF(AND($A152="",$B152="",$C152="",$D152="",$E152="",$F152="",$G152="",$H152=""),"",TRIM(IF($A152="","Customer/site label is missing. ","")&amp;IF($B152="","Monthly fee is missing. ",IF(NOT(ISNUMBER($B152)),"Monthly fee must be a number. ",IF($B152&lt;0,"Monthly fee can't be negative. ",IF(ROUND($B152,2)&lt;&gt;$B152,"Monthly fee: use up to 2 decimal places. ",IF($B152&gt;99999.99,"Monthly fee: use 99,999.99 or less. ","")))))&amp;IF($C152="","Visits per month is missing. ",IF(NOT(ISNUMBER($C152)),"Visits per month must be a number. ",IF($C152&lt;0,"Visits per month can't be negative. ",IF(ROUND($C152,3)&lt;&gt;$C152,"Visits per month: use up to 3 decimal places. ",IF($C152=0,"Visits per month must be more than 0. ",IF($C152&gt;31,"Visits per month: use 31 or less. ",""))))))&amp;IF($D152="","Service minutes per visit is missing. ",IF(NOT(ISNUMBER($D152)),"Service minutes per visit must be a number. ",IF($D152&lt;0,"Service minutes per visit can't be negative. ",IF(ROUND($D152,2)&lt;&gt;$D152,"Service minutes per visit: use up to 2 decimal places. ",IF($D152=0,"Service minutes per visit must be more than 0. ",IF($D152&gt;600,"Service minutes per visit: use 600 or less. ",""))))))&amp;IF($E152="","Drive minutes per visit is missing. ",IF(NOT(ISNUMBER($E152)),"Drive minutes per visit must be a number. ",IF($E152&lt;0,"Drive minutes per visit can't be negative. ",IF(ROUND($E152,2)&lt;&gt;$E152,"Drive minutes per visit: use up to 2 decimal places. ",IF($E152&gt;600,"Drive minutes per visit: use 600 or less. ","")))))&amp;IF($F152="","Drive miles per visit is missing. ",IF(NOT(ISNUMBER($F152)),"Drive miles per visit must be a number. ",IF($F152&lt;0,"Drive miles per visit can't be negative. ",IF(ROUND($F152,2)&lt;&gt;$F152,"Drive miles per visit: use up to 2 decimal places. ",IF($F152&gt;1000,"Drive miles per visit: use 1,000 or less. ","")))))&amp;IF($G152="","Chemicals per visit is missing. ",IF(NOT(ISNUMBER($G152)),"Chemicals per visit must be a number. ",IF($G152&lt;0,"Chemicals per visit can't be negative. ",IF(ROUND($G152,2)&lt;&gt;$G152,"Chemicals per visit: use up to 2 decimal places. ",IF($G152&gt;9999.99,"Chemicals per visit: use 9,999.99 or less. ","")))))&amp;IF($H152="","Other monthly costs is missing. ",IF(NOT(ISNUMBER($H152)),"Other monthly costs must be a number. ",IF($H152&lt;0,"Other monthly costs can't be negative. ",IF(ROUND($H152,2)&lt;&gt;$H152,"Other monthly costs: use up to 2 decimal places. ",IF($H152&gt;99999.99,"Other monthly costs: use 99,999.99 or less. ","")))))&amp;IF(SettingsOK,"","Settings incomplete.")))</f>
        <v/>
      </c>
      <c r="T152" s="23" t="str">
        <f aca="false">IF(AND($A152="",$B152="",$C152="",$D152="",$E152="",$F152="",$G152="",$H152=""),"",IF(Review!$B$5="Check inputs",IF($R152="Check inputs",ROW(),""),IF($R152="Check inputs",IF(Review!$B$5="All accounts",-2000000000000000+ROW(),""),IF(AND(Review!$B$5="Needs review",$R152="Meets your target"),"",IF($R152="No fee entered",-1000000000000000+ROW(),$N152/$B152+ROW()/1000000000)))))</f>
        <v/>
      </c>
    </row>
    <row r="153" customFormat="false" ht="15" hidden="false" customHeight="false" outlineLevel="0" collapsed="false">
      <c r="A153" s="14"/>
      <c r="B153" s="15"/>
      <c r="C153" s="16"/>
      <c r="D153" s="14"/>
      <c r="E153" s="14"/>
      <c r="F153" s="14"/>
      <c r="G153" s="15"/>
      <c r="H153" s="15"/>
      <c r="I153" s="17" t="str">
        <f aca="false">IF(OR(AND($A153="",$B153="",$C153="",$D153="",$E153="",$F153="",$G153="",$H153=""),NOT($S153="")),"",ROUND($C153*($D153+$E153)/60,4))</f>
        <v/>
      </c>
      <c r="J153" s="18" t="str">
        <f aca="false">IF(OR(AND($A153="",$B153="",$C153="",$D153="",$E153="",$F153="",$G153="",$H153=""),NOT($S153="")),"",ROUND(ROUND($C153*($D153+$E153)/60*$B$5,9),2))</f>
        <v/>
      </c>
      <c r="K153" s="18" t="str">
        <f aca="false">IF(OR(AND($A153="",$B153="",$C153="",$D153="",$E153="",$F153="",$G153="",$H153=""),NOT($S153="")),"",ROUND(ROUND($C153*$F153*$B$6,9),2))</f>
        <v/>
      </c>
      <c r="L153" s="18" t="str">
        <f aca="false">IF(OR(AND($A153="",$B153="",$C153="",$D153="",$E153="",$F153="",$G153="",$H153=""),NOT($S153="")),"",ROUND(ROUND($C153*$G153,9),2))</f>
        <v/>
      </c>
      <c r="M153" s="19" t="str">
        <f aca="false">IF(OR(AND($A153="",$B153="",$C153="",$D153="",$E153="",$F153="",$G153="",$H153=""),NOT($S153="")),"",ROUND($J153+$K153+$L153+$H153,2))</f>
        <v/>
      </c>
      <c r="N153" s="19" t="str">
        <f aca="false">IF(OR(AND($A153="",$B153="",$C153="",$D153="",$E153="",$F153="",$G153="",$H153=""),NOT($S153="")),"",ROUND($B153-$M153,2))</f>
        <v/>
      </c>
      <c r="O153" s="20" t="str">
        <f aca="false">IF(OR(AND($A153="",$B153="",$C153="",$D153="",$E153="",$F153="",$G153="",$H153=""),NOT($S153="")),"",IF($B153=0,"n/a",INT(ROUND($N153/$B153*10000,6))/10000))</f>
        <v/>
      </c>
      <c r="P153" s="18" t="str">
        <f aca="false">IF(OR(AND($A153="",$B153="",$C153="",$D153="",$E153="",$F153="",$G153="",$H153=""),NOT($S153="")),"",ROUNDUP(ROUND($M153*10000/(10000-TargetH),9),2))</f>
        <v/>
      </c>
      <c r="Q153" s="18" t="str">
        <f aca="false">IF(OR(AND($A153="",$B153="",$C153="",$D153="",$E153="",$F153="",$G153="",$H153=""),NOT($S153="")),"",MAX(0,ROUND($P153-$B153,2)))</f>
        <v/>
      </c>
      <c r="R153" s="21" t="str">
        <f aca="false">IF(AND($A153="",$B153="",$C153="",$D153="",$E153="",$F153="",$G153="",$H153=""),"",IF(NOT($S153=""),"Check inputs",IF($B153=0,"No fee entered",IF($N153&lt;0,"Losing money on entered costs",IF(ROUND($N153*100,0)*10000&lt;TargetH*ROUND($B153*100,0),"Below your target","Meets your target")))))</f>
        <v/>
      </c>
      <c r="S153" s="22" t="str">
        <f aca="false">IF(AND($A153="",$B153="",$C153="",$D153="",$E153="",$F153="",$G153="",$H153=""),"",TRIM(IF($A153="","Customer/site label is missing. ","")&amp;IF($B153="","Monthly fee is missing. ",IF(NOT(ISNUMBER($B153)),"Monthly fee must be a number. ",IF($B153&lt;0,"Monthly fee can't be negative. ",IF(ROUND($B153,2)&lt;&gt;$B153,"Monthly fee: use up to 2 decimal places. ",IF($B153&gt;99999.99,"Monthly fee: use 99,999.99 or less. ","")))))&amp;IF($C153="","Visits per month is missing. ",IF(NOT(ISNUMBER($C153)),"Visits per month must be a number. ",IF($C153&lt;0,"Visits per month can't be negative. ",IF(ROUND($C153,3)&lt;&gt;$C153,"Visits per month: use up to 3 decimal places. ",IF($C153=0,"Visits per month must be more than 0. ",IF($C153&gt;31,"Visits per month: use 31 or less. ",""))))))&amp;IF($D153="","Service minutes per visit is missing. ",IF(NOT(ISNUMBER($D153)),"Service minutes per visit must be a number. ",IF($D153&lt;0,"Service minutes per visit can't be negative. ",IF(ROUND($D153,2)&lt;&gt;$D153,"Service minutes per visit: use up to 2 decimal places. ",IF($D153=0,"Service minutes per visit must be more than 0. ",IF($D153&gt;600,"Service minutes per visit: use 600 or less. ",""))))))&amp;IF($E153="","Drive minutes per visit is missing. ",IF(NOT(ISNUMBER($E153)),"Drive minutes per visit must be a number. ",IF($E153&lt;0,"Drive minutes per visit can't be negative. ",IF(ROUND($E153,2)&lt;&gt;$E153,"Drive minutes per visit: use up to 2 decimal places. ",IF($E153&gt;600,"Drive minutes per visit: use 600 or less. ","")))))&amp;IF($F153="","Drive miles per visit is missing. ",IF(NOT(ISNUMBER($F153)),"Drive miles per visit must be a number. ",IF($F153&lt;0,"Drive miles per visit can't be negative. ",IF(ROUND($F153,2)&lt;&gt;$F153,"Drive miles per visit: use up to 2 decimal places. ",IF($F153&gt;1000,"Drive miles per visit: use 1,000 or less. ","")))))&amp;IF($G153="","Chemicals per visit is missing. ",IF(NOT(ISNUMBER($G153)),"Chemicals per visit must be a number. ",IF($G153&lt;0,"Chemicals per visit can't be negative. ",IF(ROUND($G153,2)&lt;&gt;$G153,"Chemicals per visit: use up to 2 decimal places. ",IF($G153&gt;9999.99,"Chemicals per visit: use 9,999.99 or less. ","")))))&amp;IF($H153="","Other monthly costs is missing. ",IF(NOT(ISNUMBER($H153)),"Other monthly costs must be a number. ",IF($H153&lt;0,"Other monthly costs can't be negative. ",IF(ROUND($H153,2)&lt;&gt;$H153,"Other monthly costs: use up to 2 decimal places. ",IF($H153&gt;99999.99,"Other monthly costs: use 99,999.99 or less. ","")))))&amp;IF(SettingsOK,"","Settings incomplete.")))</f>
        <v/>
      </c>
      <c r="T153" s="23" t="str">
        <f aca="false">IF(AND($A153="",$B153="",$C153="",$D153="",$E153="",$F153="",$G153="",$H153=""),"",IF(Review!$B$5="Check inputs",IF($R153="Check inputs",ROW(),""),IF($R153="Check inputs",IF(Review!$B$5="All accounts",-2000000000000000+ROW(),""),IF(AND(Review!$B$5="Needs review",$R153="Meets your target"),"",IF($R153="No fee entered",-1000000000000000+ROW(),$N153/$B153+ROW()/1000000000)))))</f>
        <v/>
      </c>
    </row>
    <row r="154" customFormat="false" ht="15" hidden="false" customHeight="false" outlineLevel="0" collapsed="false">
      <c r="A154" s="14"/>
      <c r="B154" s="15"/>
      <c r="C154" s="16"/>
      <c r="D154" s="14"/>
      <c r="E154" s="14"/>
      <c r="F154" s="14"/>
      <c r="G154" s="15"/>
      <c r="H154" s="15"/>
      <c r="I154" s="17" t="str">
        <f aca="false">IF(OR(AND($A154="",$B154="",$C154="",$D154="",$E154="",$F154="",$G154="",$H154=""),NOT($S154="")),"",ROUND($C154*($D154+$E154)/60,4))</f>
        <v/>
      </c>
      <c r="J154" s="18" t="str">
        <f aca="false">IF(OR(AND($A154="",$B154="",$C154="",$D154="",$E154="",$F154="",$G154="",$H154=""),NOT($S154="")),"",ROUND(ROUND($C154*($D154+$E154)/60*$B$5,9),2))</f>
        <v/>
      </c>
      <c r="K154" s="18" t="str">
        <f aca="false">IF(OR(AND($A154="",$B154="",$C154="",$D154="",$E154="",$F154="",$G154="",$H154=""),NOT($S154="")),"",ROUND(ROUND($C154*$F154*$B$6,9),2))</f>
        <v/>
      </c>
      <c r="L154" s="18" t="str">
        <f aca="false">IF(OR(AND($A154="",$B154="",$C154="",$D154="",$E154="",$F154="",$G154="",$H154=""),NOT($S154="")),"",ROUND(ROUND($C154*$G154,9),2))</f>
        <v/>
      </c>
      <c r="M154" s="19" t="str">
        <f aca="false">IF(OR(AND($A154="",$B154="",$C154="",$D154="",$E154="",$F154="",$G154="",$H154=""),NOT($S154="")),"",ROUND($J154+$K154+$L154+$H154,2))</f>
        <v/>
      </c>
      <c r="N154" s="19" t="str">
        <f aca="false">IF(OR(AND($A154="",$B154="",$C154="",$D154="",$E154="",$F154="",$G154="",$H154=""),NOT($S154="")),"",ROUND($B154-$M154,2))</f>
        <v/>
      </c>
      <c r="O154" s="20" t="str">
        <f aca="false">IF(OR(AND($A154="",$B154="",$C154="",$D154="",$E154="",$F154="",$G154="",$H154=""),NOT($S154="")),"",IF($B154=0,"n/a",INT(ROUND($N154/$B154*10000,6))/10000))</f>
        <v/>
      </c>
      <c r="P154" s="18" t="str">
        <f aca="false">IF(OR(AND($A154="",$B154="",$C154="",$D154="",$E154="",$F154="",$G154="",$H154=""),NOT($S154="")),"",ROUNDUP(ROUND($M154*10000/(10000-TargetH),9),2))</f>
        <v/>
      </c>
      <c r="Q154" s="18" t="str">
        <f aca="false">IF(OR(AND($A154="",$B154="",$C154="",$D154="",$E154="",$F154="",$G154="",$H154=""),NOT($S154="")),"",MAX(0,ROUND($P154-$B154,2)))</f>
        <v/>
      </c>
      <c r="R154" s="21" t="str">
        <f aca="false">IF(AND($A154="",$B154="",$C154="",$D154="",$E154="",$F154="",$G154="",$H154=""),"",IF(NOT($S154=""),"Check inputs",IF($B154=0,"No fee entered",IF($N154&lt;0,"Losing money on entered costs",IF(ROUND($N154*100,0)*10000&lt;TargetH*ROUND($B154*100,0),"Below your target","Meets your target")))))</f>
        <v/>
      </c>
      <c r="S154" s="22" t="str">
        <f aca="false">IF(AND($A154="",$B154="",$C154="",$D154="",$E154="",$F154="",$G154="",$H154=""),"",TRIM(IF($A154="","Customer/site label is missing. ","")&amp;IF($B154="","Monthly fee is missing. ",IF(NOT(ISNUMBER($B154)),"Monthly fee must be a number. ",IF($B154&lt;0,"Monthly fee can't be negative. ",IF(ROUND($B154,2)&lt;&gt;$B154,"Monthly fee: use up to 2 decimal places. ",IF($B154&gt;99999.99,"Monthly fee: use 99,999.99 or less. ","")))))&amp;IF($C154="","Visits per month is missing. ",IF(NOT(ISNUMBER($C154)),"Visits per month must be a number. ",IF($C154&lt;0,"Visits per month can't be negative. ",IF(ROUND($C154,3)&lt;&gt;$C154,"Visits per month: use up to 3 decimal places. ",IF($C154=0,"Visits per month must be more than 0. ",IF($C154&gt;31,"Visits per month: use 31 or less. ",""))))))&amp;IF($D154="","Service minutes per visit is missing. ",IF(NOT(ISNUMBER($D154)),"Service minutes per visit must be a number. ",IF($D154&lt;0,"Service minutes per visit can't be negative. ",IF(ROUND($D154,2)&lt;&gt;$D154,"Service minutes per visit: use up to 2 decimal places. ",IF($D154=0,"Service minutes per visit must be more than 0. ",IF($D154&gt;600,"Service minutes per visit: use 600 or less. ",""))))))&amp;IF($E154="","Drive minutes per visit is missing. ",IF(NOT(ISNUMBER($E154)),"Drive minutes per visit must be a number. ",IF($E154&lt;0,"Drive minutes per visit can't be negative. ",IF(ROUND($E154,2)&lt;&gt;$E154,"Drive minutes per visit: use up to 2 decimal places. ",IF($E154&gt;600,"Drive minutes per visit: use 600 or less. ","")))))&amp;IF($F154="","Drive miles per visit is missing. ",IF(NOT(ISNUMBER($F154)),"Drive miles per visit must be a number. ",IF($F154&lt;0,"Drive miles per visit can't be negative. ",IF(ROUND($F154,2)&lt;&gt;$F154,"Drive miles per visit: use up to 2 decimal places. ",IF($F154&gt;1000,"Drive miles per visit: use 1,000 or less. ","")))))&amp;IF($G154="","Chemicals per visit is missing. ",IF(NOT(ISNUMBER($G154)),"Chemicals per visit must be a number. ",IF($G154&lt;0,"Chemicals per visit can't be negative. ",IF(ROUND($G154,2)&lt;&gt;$G154,"Chemicals per visit: use up to 2 decimal places. ",IF($G154&gt;9999.99,"Chemicals per visit: use 9,999.99 or less. ","")))))&amp;IF($H154="","Other monthly costs is missing. ",IF(NOT(ISNUMBER($H154)),"Other monthly costs must be a number. ",IF($H154&lt;0,"Other monthly costs can't be negative. ",IF(ROUND($H154,2)&lt;&gt;$H154,"Other monthly costs: use up to 2 decimal places. ",IF($H154&gt;99999.99,"Other monthly costs: use 99,999.99 or less. ","")))))&amp;IF(SettingsOK,"","Settings incomplete.")))</f>
        <v/>
      </c>
      <c r="T154" s="23" t="str">
        <f aca="false">IF(AND($A154="",$B154="",$C154="",$D154="",$E154="",$F154="",$G154="",$H154=""),"",IF(Review!$B$5="Check inputs",IF($R154="Check inputs",ROW(),""),IF($R154="Check inputs",IF(Review!$B$5="All accounts",-2000000000000000+ROW(),""),IF(AND(Review!$B$5="Needs review",$R154="Meets your target"),"",IF($R154="No fee entered",-1000000000000000+ROW(),$N154/$B154+ROW()/1000000000)))))</f>
        <v/>
      </c>
    </row>
    <row r="155" customFormat="false" ht="15" hidden="false" customHeight="false" outlineLevel="0" collapsed="false">
      <c r="A155" s="14"/>
      <c r="B155" s="15"/>
      <c r="C155" s="16"/>
      <c r="D155" s="14"/>
      <c r="E155" s="14"/>
      <c r="F155" s="14"/>
      <c r="G155" s="15"/>
      <c r="H155" s="15"/>
      <c r="I155" s="17" t="str">
        <f aca="false">IF(OR(AND($A155="",$B155="",$C155="",$D155="",$E155="",$F155="",$G155="",$H155=""),NOT($S155="")),"",ROUND($C155*($D155+$E155)/60,4))</f>
        <v/>
      </c>
      <c r="J155" s="18" t="str">
        <f aca="false">IF(OR(AND($A155="",$B155="",$C155="",$D155="",$E155="",$F155="",$G155="",$H155=""),NOT($S155="")),"",ROUND(ROUND($C155*($D155+$E155)/60*$B$5,9),2))</f>
        <v/>
      </c>
      <c r="K155" s="18" t="str">
        <f aca="false">IF(OR(AND($A155="",$B155="",$C155="",$D155="",$E155="",$F155="",$G155="",$H155=""),NOT($S155="")),"",ROUND(ROUND($C155*$F155*$B$6,9),2))</f>
        <v/>
      </c>
      <c r="L155" s="18" t="str">
        <f aca="false">IF(OR(AND($A155="",$B155="",$C155="",$D155="",$E155="",$F155="",$G155="",$H155=""),NOT($S155="")),"",ROUND(ROUND($C155*$G155,9),2))</f>
        <v/>
      </c>
      <c r="M155" s="19" t="str">
        <f aca="false">IF(OR(AND($A155="",$B155="",$C155="",$D155="",$E155="",$F155="",$G155="",$H155=""),NOT($S155="")),"",ROUND($J155+$K155+$L155+$H155,2))</f>
        <v/>
      </c>
      <c r="N155" s="19" t="str">
        <f aca="false">IF(OR(AND($A155="",$B155="",$C155="",$D155="",$E155="",$F155="",$G155="",$H155=""),NOT($S155="")),"",ROUND($B155-$M155,2))</f>
        <v/>
      </c>
      <c r="O155" s="20" t="str">
        <f aca="false">IF(OR(AND($A155="",$B155="",$C155="",$D155="",$E155="",$F155="",$G155="",$H155=""),NOT($S155="")),"",IF($B155=0,"n/a",INT(ROUND($N155/$B155*10000,6))/10000))</f>
        <v/>
      </c>
      <c r="P155" s="18" t="str">
        <f aca="false">IF(OR(AND($A155="",$B155="",$C155="",$D155="",$E155="",$F155="",$G155="",$H155=""),NOT($S155="")),"",ROUNDUP(ROUND($M155*10000/(10000-TargetH),9),2))</f>
        <v/>
      </c>
      <c r="Q155" s="18" t="str">
        <f aca="false">IF(OR(AND($A155="",$B155="",$C155="",$D155="",$E155="",$F155="",$G155="",$H155=""),NOT($S155="")),"",MAX(0,ROUND($P155-$B155,2)))</f>
        <v/>
      </c>
      <c r="R155" s="21" t="str">
        <f aca="false">IF(AND($A155="",$B155="",$C155="",$D155="",$E155="",$F155="",$G155="",$H155=""),"",IF(NOT($S155=""),"Check inputs",IF($B155=0,"No fee entered",IF($N155&lt;0,"Losing money on entered costs",IF(ROUND($N155*100,0)*10000&lt;TargetH*ROUND($B155*100,0),"Below your target","Meets your target")))))</f>
        <v/>
      </c>
      <c r="S155" s="22" t="str">
        <f aca="false">IF(AND($A155="",$B155="",$C155="",$D155="",$E155="",$F155="",$G155="",$H155=""),"",TRIM(IF($A155="","Customer/site label is missing. ","")&amp;IF($B155="","Monthly fee is missing. ",IF(NOT(ISNUMBER($B155)),"Monthly fee must be a number. ",IF($B155&lt;0,"Monthly fee can't be negative. ",IF(ROUND($B155,2)&lt;&gt;$B155,"Monthly fee: use up to 2 decimal places. ",IF($B155&gt;99999.99,"Monthly fee: use 99,999.99 or less. ","")))))&amp;IF($C155="","Visits per month is missing. ",IF(NOT(ISNUMBER($C155)),"Visits per month must be a number. ",IF($C155&lt;0,"Visits per month can't be negative. ",IF(ROUND($C155,3)&lt;&gt;$C155,"Visits per month: use up to 3 decimal places. ",IF($C155=0,"Visits per month must be more than 0. ",IF($C155&gt;31,"Visits per month: use 31 or less. ",""))))))&amp;IF($D155="","Service minutes per visit is missing. ",IF(NOT(ISNUMBER($D155)),"Service minutes per visit must be a number. ",IF($D155&lt;0,"Service minutes per visit can't be negative. ",IF(ROUND($D155,2)&lt;&gt;$D155,"Service minutes per visit: use up to 2 decimal places. ",IF($D155=0,"Service minutes per visit must be more than 0. ",IF($D155&gt;600,"Service minutes per visit: use 600 or less. ",""))))))&amp;IF($E155="","Drive minutes per visit is missing. ",IF(NOT(ISNUMBER($E155)),"Drive minutes per visit must be a number. ",IF($E155&lt;0,"Drive minutes per visit can't be negative. ",IF(ROUND($E155,2)&lt;&gt;$E155,"Drive minutes per visit: use up to 2 decimal places. ",IF($E155&gt;600,"Drive minutes per visit: use 600 or less. ","")))))&amp;IF($F155="","Drive miles per visit is missing. ",IF(NOT(ISNUMBER($F155)),"Drive miles per visit must be a number. ",IF($F155&lt;0,"Drive miles per visit can't be negative. ",IF(ROUND($F155,2)&lt;&gt;$F155,"Drive miles per visit: use up to 2 decimal places. ",IF($F155&gt;1000,"Drive miles per visit: use 1,000 or less. ","")))))&amp;IF($G155="","Chemicals per visit is missing. ",IF(NOT(ISNUMBER($G155)),"Chemicals per visit must be a number. ",IF($G155&lt;0,"Chemicals per visit can't be negative. ",IF(ROUND($G155,2)&lt;&gt;$G155,"Chemicals per visit: use up to 2 decimal places. ",IF($G155&gt;9999.99,"Chemicals per visit: use 9,999.99 or less. ","")))))&amp;IF($H155="","Other monthly costs is missing. ",IF(NOT(ISNUMBER($H155)),"Other monthly costs must be a number. ",IF($H155&lt;0,"Other monthly costs can't be negative. ",IF(ROUND($H155,2)&lt;&gt;$H155,"Other monthly costs: use up to 2 decimal places. ",IF($H155&gt;99999.99,"Other monthly costs: use 99,999.99 or less. ","")))))&amp;IF(SettingsOK,"","Settings incomplete.")))</f>
        <v/>
      </c>
      <c r="T155" s="23" t="str">
        <f aca="false">IF(AND($A155="",$B155="",$C155="",$D155="",$E155="",$F155="",$G155="",$H155=""),"",IF(Review!$B$5="Check inputs",IF($R155="Check inputs",ROW(),""),IF($R155="Check inputs",IF(Review!$B$5="All accounts",-2000000000000000+ROW(),""),IF(AND(Review!$B$5="Needs review",$R155="Meets your target"),"",IF($R155="No fee entered",-1000000000000000+ROW(),$N155/$B155+ROW()/1000000000)))))</f>
        <v/>
      </c>
    </row>
    <row r="156" customFormat="false" ht="15" hidden="false" customHeight="false" outlineLevel="0" collapsed="false">
      <c r="A156" s="14"/>
      <c r="B156" s="15"/>
      <c r="C156" s="16"/>
      <c r="D156" s="14"/>
      <c r="E156" s="14"/>
      <c r="F156" s="14"/>
      <c r="G156" s="15"/>
      <c r="H156" s="15"/>
      <c r="I156" s="17" t="str">
        <f aca="false">IF(OR(AND($A156="",$B156="",$C156="",$D156="",$E156="",$F156="",$G156="",$H156=""),NOT($S156="")),"",ROUND($C156*($D156+$E156)/60,4))</f>
        <v/>
      </c>
      <c r="J156" s="18" t="str">
        <f aca="false">IF(OR(AND($A156="",$B156="",$C156="",$D156="",$E156="",$F156="",$G156="",$H156=""),NOT($S156="")),"",ROUND(ROUND($C156*($D156+$E156)/60*$B$5,9),2))</f>
        <v/>
      </c>
      <c r="K156" s="18" t="str">
        <f aca="false">IF(OR(AND($A156="",$B156="",$C156="",$D156="",$E156="",$F156="",$G156="",$H156=""),NOT($S156="")),"",ROUND(ROUND($C156*$F156*$B$6,9),2))</f>
        <v/>
      </c>
      <c r="L156" s="18" t="str">
        <f aca="false">IF(OR(AND($A156="",$B156="",$C156="",$D156="",$E156="",$F156="",$G156="",$H156=""),NOT($S156="")),"",ROUND(ROUND($C156*$G156,9),2))</f>
        <v/>
      </c>
      <c r="M156" s="19" t="str">
        <f aca="false">IF(OR(AND($A156="",$B156="",$C156="",$D156="",$E156="",$F156="",$G156="",$H156=""),NOT($S156="")),"",ROUND($J156+$K156+$L156+$H156,2))</f>
        <v/>
      </c>
      <c r="N156" s="19" t="str">
        <f aca="false">IF(OR(AND($A156="",$B156="",$C156="",$D156="",$E156="",$F156="",$G156="",$H156=""),NOT($S156="")),"",ROUND($B156-$M156,2))</f>
        <v/>
      </c>
      <c r="O156" s="20" t="str">
        <f aca="false">IF(OR(AND($A156="",$B156="",$C156="",$D156="",$E156="",$F156="",$G156="",$H156=""),NOT($S156="")),"",IF($B156=0,"n/a",INT(ROUND($N156/$B156*10000,6))/10000))</f>
        <v/>
      </c>
      <c r="P156" s="18" t="str">
        <f aca="false">IF(OR(AND($A156="",$B156="",$C156="",$D156="",$E156="",$F156="",$G156="",$H156=""),NOT($S156="")),"",ROUNDUP(ROUND($M156*10000/(10000-TargetH),9),2))</f>
        <v/>
      </c>
      <c r="Q156" s="18" t="str">
        <f aca="false">IF(OR(AND($A156="",$B156="",$C156="",$D156="",$E156="",$F156="",$G156="",$H156=""),NOT($S156="")),"",MAX(0,ROUND($P156-$B156,2)))</f>
        <v/>
      </c>
      <c r="R156" s="21" t="str">
        <f aca="false">IF(AND($A156="",$B156="",$C156="",$D156="",$E156="",$F156="",$G156="",$H156=""),"",IF(NOT($S156=""),"Check inputs",IF($B156=0,"No fee entered",IF($N156&lt;0,"Losing money on entered costs",IF(ROUND($N156*100,0)*10000&lt;TargetH*ROUND($B156*100,0),"Below your target","Meets your target")))))</f>
        <v/>
      </c>
      <c r="S156" s="22" t="str">
        <f aca="false">IF(AND($A156="",$B156="",$C156="",$D156="",$E156="",$F156="",$G156="",$H156=""),"",TRIM(IF($A156="","Customer/site label is missing. ","")&amp;IF($B156="","Monthly fee is missing. ",IF(NOT(ISNUMBER($B156)),"Monthly fee must be a number. ",IF($B156&lt;0,"Monthly fee can't be negative. ",IF(ROUND($B156,2)&lt;&gt;$B156,"Monthly fee: use up to 2 decimal places. ",IF($B156&gt;99999.99,"Monthly fee: use 99,999.99 or less. ","")))))&amp;IF($C156="","Visits per month is missing. ",IF(NOT(ISNUMBER($C156)),"Visits per month must be a number. ",IF($C156&lt;0,"Visits per month can't be negative. ",IF(ROUND($C156,3)&lt;&gt;$C156,"Visits per month: use up to 3 decimal places. ",IF($C156=0,"Visits per month must be more than 0. ",IF($C156&gt;31,"Visits per month: use 31 or less. ",""))))))&amp;IF($D156="","Service minutes per visit is missing. ",IF(NOT(ISNUMBER($D156)),"Service minutes per visit must be a number. ",IF($D156&lt;0,"Service minutes per visit can't be negative. ",IF(ROUND($D156,2)&lt;&gt;$D156,"Service minutes per visit: use up to 2 decimal places. ",IF($D156=0,"Service minutes per visit must be more than 0. ",IF($D156&gt;600,"Service minutes per visit: use 600 or less. ",""))))))&amp;IF($E156="","Drive minutes per visit is missing. ",IF(NOT(ISNUMBER($E156)),"Drive minutes per visit must be a number. ",IF($E156&lt;0,"Drive minutes per visit can't be negative. ",IF(ROUND($E156,2)&lt;&gt;$E156,"Drive minutes per visit: use up to 2 decimal places. ",IF($E156&gt;600,"Drive minutes per visit: use 600 or less. ","")))))&amp;IF($F156="","Drive miles per visit is missing. ",IF(NOT(ISNUMBER($F156)),"Drive miles per visit must be a number. ",IF($F156&lt;0,"Drive miles per visit can't be negative. ",IF(ROUND($F156,2)&lt;&gt;$F156,"Drive miles per visit: use up to 2 decimal places. ",IF($F156&gt;1000,"Drive miles per visit: use 1,000 or less. ","")))))&amp;IF($G156="","Chemicals per visit is missing. ",IF(NOT(ISNUMBER($G156)),"Chemicals per visit must be a number. ",IF($G156&lt;0,"Chemicals per visit can't be negative. ",IF(ROUND($G156,2)&lt;&gt;$G156,"Chemicals per visit: use up to 2 decimal places. ",IF($G156&gt;9999.99,"Chemicals per visit: use 9,999.99 or less. ","")))))&amp;IF($H156="","Other monthly costs is missing. ",IF(NOT(ISNUMBER($H156)),"Other monthly costs must be a number. ",IF($H156&lt;0,"Other monthly costs can't be negative. ",IF(ROUND($H156,2)&lt;&gt;$H156,"Other monthly costs: use up to 2 decimal places. ",IF($H156&gt;99999.99,"Other monthly costs: use 99,999.99 or less. ","")))))&amp;IF(SettingsOK,"","Settings incomplete.")))</f>
        <v/>
      </c>
      <c r="T156" s="23" t="str">
        <f aca="false">IF(AND($A156="",$B156="",$C156="",$D156="",$E156="",$F156="",$G156="",$H156=""),"",IF(Review!$B$5="Check inputs",IF($R156="Check inputs",ROW(),""),IF($R156="Check inputs",IF(Review!$B$5="All accounts",-2000000000000000+ROW(),""),IF(AND(Review!$B$5="Needs review",$R156="Meets your target"),"",IF($R156="No fee entered",-1000000000000000+ROW(),$N156/$B156+ROW()/1000000000)))))</f>
        <v/>
      </c>
    </row>
    <row r="157" customFormat="false" ht="15" hidden="false" customHeight="false" outlineLevel="0" collapsed="false">
      <c r="A157" s="14"/>
      <c r="B157" s="15"/>
      <c r="C157" s="16"/>
      <c r="D157" s="14"/>
      <c r="E157" s="14"/>
      <c r="F157" s="14"/>
      <c r="G157" s="15"/>
      <c r="H157" s="15"/>
      <c r="I157" s="17" t="str">
        <f aca="false">IF(OR(AND($A157="",$B157="",$C157="",$D157="",$E157="",$F157="",$G157="",$H157=""),NOT($S157="")),"",ROUND($C157*($D157+$E157)/60,4))</f>
        <v/>
      </c>
      <c r="J157" s="18" t="str">
        <f aca="false">IF(OR(AND($A157="",$B157="",$C157="",$D157="",$E157="",$F157="",$G157="",$H157=""),NOT($S157="")),"",ROUND(ROUND($C157*($D157+$E157)/60*$B$5,9),2))</f>
        <v/>
      </c>
      <c r="K157" s="18" t="str">
        <f aca="false">IF(OR(AND($A157="",$B157="",$C157="",$D157="",$E157="",$F157="",$G157="",$H157=""),NOT($S157="")),"",ROUND(ROUND($C157*$F157*$B$6,9),2))</f>
        <v/>
      </c>
      <c r="L157" s="18" t="str">
        <f aca="false">IF(OR(AND($A157="",$B157="",$C157="",$D157="",$E157="",$F157="",$G157="",$H157=""),NOT($S157="")),"",ROUND(ROUND($C157*$G157,9),2))</f>
        <v/>
      </c>
      <c r="M157" s="19" t="str">
        <f aca="false">IF(OR(AND($A157="",$B157="",$C157="",$D157="",$E157="",$F157="",$G157="",$H157=""),NOT($S157="")),"",ROUND($J157+$K157+$L157+$H157,2))</f>
        <v/>
      </c>
      <c r="N157" s="19" t="str">
        <f aca="false">IF(OR(AND($A157="",$B157="",$C157="",$D157="",$E157="",$F157="",$G157="",$H157=""),NOT($S157="")),"",ROUND($B157-$M157,2))</f>
        <v/>
      </c>
      <c r="O157" s="20" t="str">
        <f aca="false">IF(OR(AND($A157="",$B157="",$C157="",$D157="",$E157="",$F157="",$G157="",$H157=""),NOT($S157="")),"",IF($B157=0,"n/a",INT(ROUND($N157/$B157*10000,6))/10000))</f>
        <v/>
      </c>
      <c r="P157" s="18" t="str">
        <f aca="false">IF(OR(AND($A157="",$B157="",$C157="",$D157="",$E157="",$F157="",$G157="",$H157=""),NOT($S157="")),"",ROUNDUP(ROUND($M157*10000/(10000-TargetH),9),2))</f>
        <v/>
      </c>
      <c r="Q157" s="18" t="str">
        <f aca="false">IF(OR(AND($A157="",$B157="",$C157="",$D157="",$E157="",$F157="",$G157="",$H157=""),NOT($S157="")),"",MAX(0,ROUND($P157-$B157,2)))</f>
        <v/>
      </c>
      <c r="R157" s="21" t="str">
        <f aca="false">IF(AND($A157="",$B157="",$C157="",$D157="",$E157="",$F157="",$G157="",$H157=""),"",IF(NOT($S157=""),"Check inputs",IF($B157=0,"No fee entered",IF($N157&lt;0,"Losing money on entered costs",IF(ROUND($N157*100,0)*10000&lt;TargetH*ROUND($B157*100,0),"Below your target","Meets your target")))))</f>
        <v/>
      </c>
      <c r="S157" s="22" t="str">
        <f aca="false">IF(AND($A157="",$B157="",$C157="",$D157="",$E157="",$F157="",$G157="",$H157=""),"",TRIM(IF($A157="","Customer/site label is missing. ","")&amp;IF($B157="","Monthly fee is missing. ",IF(NOT(ISNUMBER($B157)),"Monthly fee must be a number. ",IF($B157&lt;0,"Monthly fee can't be negative. ",IF(ROUND($B157,2)&lt;&gt;$B157,"Monthly fee: use up to 2 decimal places. ",IF($B157&gt;99999.99,"Monthly fee: use 99,999.99 or less. ","")))))&amp;IF($C157="","Visits per month is missing. ",IF(NOT(ISNUMBER($C157)),"Visits per month must be a number. ",IF($C157&lt;0,"Visits per month can't be negative. ",IF(ROUND($C157,3)&lt;&gt;$C157,"Visits per month: use up to 3 decimal places. ",IF($C157=0,"Visits per month must be more than 0. ",IF($C157&gt;31,"Visits per month: use 31 or less. ",""))))))&amp;IF($D157="","Service minutes per visit is missing. ",IF(NOT(ISNUMBER($D157)),"Service minutes per visit must be a number. ",IF($D157&lt;0,"Service minutes per visit can't be negative. ",IF(ROUND($D157,2)&lt;&gt;$D157,"Service minutes per visit: use up to 2 decimal places. ",IF($D157=0,"Service minutes per visit must be more than 0. ",IF($D157&gt;600,"Service minutes per visit: use 600 or less. ",""))))))&amp;IF($E157="","Drive minutes per visit is missing. ",IF(NOT(ISNUMBER($E157)),"Drive minutes per visit must be a number. ",IF($E157&lt;0,"Drive minutes per visit can't be negative. ",IF(ROUND($E157,2)&lt;&gt;$E157,"Drive minutes per visit: use up to 2 decimal places. ",IF($E157&gt;600,"Drive minutes per visit: use 600 or less. ","")))))&amp;IF($F157="","Drive miles per visit is missing. ",IF(NOT(ISNUMBER($F157)),"Drive miles per visit must be a number. ",IF($F157&lt;0,"Drive miles per visit can't be negative. ",IF(ROUND($F157,2)&lt;&gt;$F157,"Drive miles per visit: use up to 2 decimal places. ",IF($F157&gt;1000,"Drive miles per visit: use 1,000 or less. ","")))))&amp;IF($G157="","Chemicals per visit is missing. ",IF(NOT(ISNUMBER($G157)),"Chemicals per visit must be a number. ",IF($G157&lt;0,"Chemicals per visit can't be negative. ",IF(ROUND($G157,2)&lt;&gt;$G157,"Chemicals per visit: use up to 2 decimal places. ",IF($G157&gt;9999.99,"Chemicals per visit: use 9,999.99 or less. ","")))))&amp;IF($H157="","Other monthly costs is missing. ",IF(NOT(ISNUMBER($H157)),"Other monthly costs must be a number. ",IF($H157&lt;0,"Other monthly costs can't be negative. ",IF(ROUND($H157,2)&lt;&gt;$H157,"Other monthly costs: use up to 2 decimal places. ",IF($H157&gt;99999.99,"Other monthly costs: use 99,999.99 or less. ","")))))&amp;IF(SettingsOK,"","Settings incomplete.")))</f>
        <v/>
      </c>
      <c r="T157" s="23" t="str">
        <f aca="false">IF(AND($A157="",$B157="",$C157="",$D157="",$E157="",$F157="",$G157="",$H157=""),"",IF(Review!$B$5="Check inputs",IF($R157="Check inputs",ROW(),""),IF($R157="Check inputs",IF(Review!$B$5="All accounts",-2000000000000000+ROW(),""),IF(AND(Review!$B$5="Needs review",$R157="Meets your target"),"",IF($R157="No fee entered",-1000000000000000+ROW(),$N157/$B157+ROW()/1000000000)))))</f>
        <v/>
      </c>
    </row>
    <row r="158" customFormat="false" ht="15" hidden="false" customHeight="false" outlineLevel="0" collapsed="false">
      <c r="A158" s="14"/>
      <c r="B158" s="15"/>
      <c r="C158" s="16"/>
      <c r="D158" s="14"/>
      <c r="E158" s="14"/>
      <c r="F158" s="14"/>
      <c r="G158" s="15"/>
      <c r="H158" s="15"/>
      <c r="I158" s="17" t="str">
        <f aca="false">IF(OR(AND($A158="",$B158="",$C158="",$D158="",$E158="",$F158="",$G158="",$H158=""),NOT($S158="")),"",ROUND($C158*($D158+$E158)/60,4))</f>
        <v/>
      </c>
      <c r="J158" s="18" t="str">
        <f aca="false">IF(OR(AND($A158="",$B158="",$C158="",$D158="",$E158="",$F158="",$G158="",$H158=""),NOT($S158="")),"",ROUND(ROUND($C158*($D158+$E158)/60*$B$5,9),2))</f>
        <v/>
      </c>
      <c r="K158" s="18" t="str">
        <f aca="false">IF(OR(AND($A158="",$B158="",$C158="",$D158="",$E158="",$F158="",$G158="",$H158=""),NOT($S158="")),"",ROUND(ROUND($C158*$F158*$B$6,9),2))</f>
        <v/>
      </c>
      <c r="L158" s="18" t="str">
        <f aca="false">IF(OR(AND($A158="",$B158="",$C158="",$D158="",$E158="",$F158="",$G158="",$H158=""),NOT($S158="")),"",ROUND(ROUND($C158*$G158,9),2))</f>
        <v/>
      </c>
      <c r="M158" s="19" t="str">
        <f aca="false">IF(OR(AND($A158="",$B158="",$C158="",$D158="",$E158="",$F158="",$G158="",$H158=""),NOT($S158="")),"",ROUND($J158+$K158+$L158+$H158,2))</f>
        <v/>
      </c>
      <c r="N158" s="19" t="str">
        <f aca="false">IF(OR(AND($A158="",$B158="",$C158="",$D158="",$E158="",$F158="",$G158="",$H158=""),NOT($S158="")),"",ROUND($B158-$M158,2))</f>
        <v/>
      </c>
      <c r="O158" s="20" t="str">
        <f aca="false">IF(OR(AND($A158="",$B158="",$C158="",$D158="",$E158="",$F158="",$G158="",$H158=""),NOT($S158="")),"",IF($B158=0,"n/a",INT(ROUND($N158/$B158*10000,6))/10000))</f>
        <v/>
      </c>
      <c r="P158" s="18" t="str">
        <f aca="false">IF(OR(AND($A158="",$B158="",$C158="",$D158="",$E158="",$F158="",$G158="",$H158=""),NOT($S158="")),"",ROUNDUP(ROUND($M158*10000/(10000-TargetH),9),2))</f>
        <v/>
      </c>
      <c r="Q158" s="18" t="str">
        <f aca="false">IF(OR(AND($A158="",$B158="",$C158="",$D158="",$E158="",$F158="",$G158="",$H158=""),NOT($S158="")),"",MAX(0,ROUND($P158-$B158,2)))</f>
        <v/>
      </c>
      <c r="R158" s="21" t="str">
        <f aca="false">IF(AND($A158="",$B158="",$C158="",$D158="",$E158="",$F158="",$G158="",$H158=""),"",IF(NOT($S158=""),"Check inputs",IF($B158=0,"No fee entered",IF($N158&lt;0,"Losing money on entered costs",IF(ROUND($N158*100,0)*10000&lt;TargetH*ROUND($B158*100,0),"Below your target","Meets your target")))))</f>
        <v/>
      </c>
      <c r="S158" s="22" t="str">
        <f aca="false">IF(AND($A158="",$B158="",$C158="",$D158="",$E158="",$F158="",$G158="",$H158=""),"",TRIM(IF($A158="","Customer/site label is missing. ","")&amp;IF($B158="","Monthly fee is missing. ",IF(NOT(ISNUMBER($B158)),"Monthly fee must be a number. ",IF($B158&lt;0,"Monthly fee can't be negative. ",IF(ROUND($B158,2)&lt;&gt;$B158,"Monthly fee: use up to 2 decimal places. ",IF($B158&gt;99999.99,"Monthly fee: use 99,999.99 or less. ","")))))&amp;IF($C158="","Visits per month is missing. ",IF(NOT(ISNUMBER($C158)),"Visits per month must be a number. ",IF($C158&lt;0,"Visits per month can't be negative. ",IF(ROUND($C158,3)&lt;&gt;$C158,"Visits per month: use up to 3 decimal places. ",IF($C158=0,"Visits per month must be more than 0. ",IF($C158&gt;31,"Visits per month: use 31 or less. ",""))))))&amp;IF($D158="","Service minutes per visit is missing. ",IF(NOT(ISNUMBER($D158)),"Service minutes per visit must be a number. ",IF($D158&lt;0,"Service minutes per visit can't be negative. ",IF(ROUND($D158,2)&lt;&gt;$D158,"Service minutes per visit: use up to 2 decimal places. ",IF($D158=0,"Service minutes per visit must be more than 0. ",IF($D158&gt;600,"Service minutes per visit: use 600 or less. ",""))))))&amp;IF($E158="","Drive minutes per visit is missing. ",IF(NOT(ISNUMBER($E158)),"Drive minutes per visit must be a number. ",IF($E158&lt;0,"Drive minutes per visit can't be negative. ",IF(ROUND($E158,2)&lt;&gt;$E158,"Drive minutes per visit: use up to 2 decimal places. ",IF($E158&gt;600,"Drive minutes per visit: use 600 or less. ","")))))&amp;IF($F158="","Drive miles per visit is missing. ",IF(NOT(ISNUMBER($F158)),"Drive miles per visit must be a number. ",IF($F158&lt;0,"Drive miles per visit can't be negative. ",IF(ROUND($F158,2)&lt;&gt;$F158,"Drive miles per visit: use up to 2 decimal places. ",IF($F158&gt;1000,"Drive miles per visit: use 1,000 or less. ","")))))&amp;IF($G158="","Chemicals per visit is missing. ",IF(NOT(ISNUMBER($G158)),"Chemicals per visit must be a number. ",IF($G158&lt;0,"Chemicals per visit can't be negative. ",IF(ROUND($G158,2)&lt;&gt;$G158,"Chemicals per visit: use up to 2 decimal places. ",IF($G158&gt;9999.99,"Chemicals per visit: use 9,999.99 or less. ","")))))&amp;IF($H158="","Other monthly costs is missing. ",IF(NOT(ISNUMBER($H158)),"Other monthly costs must be a number. ",IF($H158&lt;0,"Other monthly costs can't be negative. ",IF(ROUND($H158,2)&lt;&gt;$H158,"Other monthly costs: use up to 2 decimal places. ",IF($H158&gt;99999.99,"Other monthly costs: use 99,999.99 or less. ","")))))&amp;IF(SettingsOK,"","Settings incomplete.")))</f>
        <v/>
      </c>
      <c r="T158" s="23" t="str">
        <f aca="false">IF(AND($A158="",$B158="",$C158="",$D158="",$E158="",$F158="",$G158="",$H158=""),"",IF(Review!$B$5="Check inputs",IF($R158="Check inputs",ROW(),""),IF($R158="Check inputs",IF(Review!$B$5="All accounts",-2000000000000000+ROW(),""),IF(AND(Review!$B$5="Needs review",$R158="Meets your target"),"",IF($R158="No fee entered",-1000000000000000+ROW(),$N158/$B158+ROW()/1000000000)))))</f>
        <v/>
      </c>
    </row>
    <row r="159" customFormat="false" ht="15" hidden="false" customHeight="false" outlineLevel="0" collapsed="false">
      <c r="A159" s="14"/>
      <c r="B159" s="15"/>
      <c r="C159" s="16"/>
      <c r="D159" s="14"/>
      <c r="E159" s="14"/>
      <c r="F159" s="14"/>
      <c r="G159" s="15"/>
      <c r="H159" s="15"/>
      <c r="I159" s="17" t="str">
        <f aca="false">IF(OR(AND($A159="",$B159="",$C159="",$D159="",$E159="",$F159="",$G159="",$H159=""),NOT($S159="")),"",ROUND($C159*($D159+$E159)/60,4))</f>
        <v/>
      </c>
      <c r="J159" s="18" t="str">
        <f aca="false">IF(OR(AND($A159="",$B159="",$C159="",$D159="",$E159="",$F159="",$G159="",$H159=""),NOT($S159="")),"",ROUND(ROUND($C159*($D159+$E159)/60*$B$5,9),2))</f>
        <v/>
      </c>
      <c r="K159" s="18" t="str">
        <f aca="false">IF(OR(AND($A159="",$B159="",$C159="",$D159="",$E159="",$F159="",$G159="",$H159=""),NOT($S159="")),"",ROUND(ROUND($C159*$F159*$B$6,9),2))</f>
        <v/>
      </c>
      <c r="L159" s="18" t="str">
        <f aca="false">IF(OR(AND($A159="",$B159="",$C159="",$D159="",$E159="",$F159="",$G159="",$H159=""),NOT($S159="")),"",ROUND(ROUND($C159*$G159,9),2))</f>
        <v/>
      </c>
      <c r="M159" s="19" t="str">
        <f aca="false">IF(OR(AND($A159="",$B159="",$C159="",$D159="",$E159="",$F159="",$G159="",$H159=""),NOT($S159="")),"",ROUND($J159+$K159+$L159+$H159,2))</f>
        <v/>
      </c>
      <c r="N159" s="19" t="str">
        <f aca="false">IF(OR(AND($A159="",$B159="",$C159="",$D159="",$E159="",$F159="",$G159="",$H159=""),NOT($S159="")),"",ROUND($B159-$M159,2))</f>
        <v/>
      </c>
      <c r="O159" s="20" t="str">
        <f aca="false">IF(OR(AND($A159="",$B159="",$C159="",$D159="",$E159="",$F159="",$G159="",$H159=""),NOT($S159="")),"",IF($B159=0,"n/a",INT(ROUND($N159/$B159*10000,6))/10000))</f>
        <v/>
      </c>
      <c r="P159" s="18" t="str">
        <f aca="false">IF(OR(AND($A159="",$B159="",$C159="",$D159="",$E159="",$F159="",$G159="",$H159=""),NOT($S159="")),"",ROUNDUP(ROUND($M159*10000/(10000-TargetH),9),2))</f>
        <v/>
      </c>
      <c r="Q159" s="18" t="str">
        <f aca="false">IF(OR(AND($A159="",$B159="",$C159="",$D159="",$E159="",$F159="",$G159="",$H159=""),NOT($S159="")),"",MAX(0,ROUND($P159-$B159,2)))</f>
        <v/>
      </c>
      <c r="R159" s="21" t="str">
        <f aca="false">IF(AND($A159="",$B159="",$C159="",$D159="",$E159="",$F159="",$G159="",$H159=""),"",IF(NOT($S159=""),"Check inputs",IF($B159=0,"No fee entered",IF($N159&lt;0,"Losing money on entered costs",IF(ROUND($N159*100,0)*10000&lt;TargetH*ROUND($B159*100,0),"Below your target","Meets your target")))))</f>
        <v/>
      </c>
      <c r="S159" s="22" t="str">
        <f aca="false">IF(AND($A159="",$B159="",$C159="",$D159="",$E159="",$F159="",$G159="",$H159=""),"",TRIM(IF($A159="","Customer/site label is missing. ","")&amp;IF($B159="","Monthly fee is missing. ",IF(NOT(ISNUMBER($B159)),"Monthly fee must be a number. ",IF($B159&lt;0,"Monthly fee can't be negative. ",IF(ROUND($B159,2)&lt;&gt;$B159,"Monthly fee: use up to 2 decimal places. ",IF($B159&gt;99999.99,"Monthly fee: use 99,999.99 or less. ","")))))&amp;IF($C159="","Visits per month is missing. ",IF(NOT(ISNUMBER($C159)),"Visits per month must be a number. ",IF($C159&lt;0,"Visits per month can't be negative. ",IF(ROUND($C159,3)&lt;&gt;$C159,"Visits per month: use up to 3 decimal places. ",IF($C159=0,"Visits per month must be more than 0. ",IF($C159&gt;31,"Visits per month: use 31 or less. ",""))))))&amp;IF($D159="","Service minutes per visit is missing. ",IF(NOT(ISNUMBER($D159)),"Service minutes per visit must be a number. ",IF($D159&lt;0,"Service minutes per visit can't be negative. ",IF(ROUND($D159,2)&lt;&gt;$D159,"Service minutes per visit: use up to 2 decimal places. ",IF($D159=0,"Service minutes per visit must be more than 0. ",IF($D159&gt;600,"Service minutes per visit: use 600 or less. ",""))))))&amp;IF($E159="","Drive minutes per visit is missing. ",IF(NOT(ISNUMBER($E159)),"Drive minutes per visit must be a number. ",IF($E159&lt;0,"Drive minutes per visit can't be negative. ",IF(ROUND($E159,2)&lt;&gt;$E159,"Drive minutes per visit: use up to 2 decimal places. ",IF($E159&gt;600,"Drive minutes per visit: use 600 or less. ","")))))&amp;IF($F159="","Drive miles per visit is missing. ",IF(NOT(ISNUMBER($F159)),"Drive miles per visit must be a number. ",IF($F159&lt;0,"Drive miles per visit can't be negative. ",IF(ROUND($F159,2)&lt;&gt;$F159,"Drive miles per visit: use up to 2 decimal places. ",IF($F159&gt;1000,"Drive miles per visit: use 1,000 or less. ","")))))&amp;IF($G159="","Chemicals per visit is missing. ",IF(NOT(ISNUMBER($G159)),"Chemicals per visit must be a number. ",IF($G159&lt;0,"Chemicals per visit can't be negative. ",IF(ROUND($G159,2)&lt;&gt;$G159,"Chemicals per visit: use up to 2 decimal places. ",IF($G159&gt;9999.99,"Chemicals per visit: use 9,999.99 or less. ","")))))&amp;IF($H159="","Other monthly costs is missing. ",IF(NOT(ISNUMBER($H159)),"Other monthly costs must be a number. ",IF($H159&lt;0,"Other monthly costs can't be negative. ",IF(ROUND($H159,2)&lt;&gt;$H159,"Other monthly costs: use up to 2 decimal places. ",IF($H159&gt;99999.99,"Other monthly costs: use 99,999.99 or less. ","")))))&amp;IF(SettingsOK,"","Settings incomplete.")))</f>
        <v/>
      </c>
      <c r="T159" s="23" t="str">
        <f aca="false">IF(AND($A159="",$B159="",$C159="",$D159="",$E159="",$F159="",$G159="",$H159=""),"",IF(Review!$B$5="Check inputs",IF($R159="Check inputs",ROW(),""),IF($R159="Check inputs",IF(Review!$B$5="All accounts",-2000000000000000+ROW(),""),IF(AND(Review!$B$5="Needs review",$R159="Meets your target"),"",IF($R159="No fee entered",-1000000000000000+ROW(),$N159/$B159+ROW()/1000000000)))))</f>
        <v/>
      </c>
    </row>
    <row r="160" customFormat="false" ht="15" hidden="false" customHeight="false" outlineLevel="0" collapsed="false">
      <c r="A160" s="14"/>
      <c r="B160" s="15"/>
      <c r="C160" s="16"/>
      <c r="D160" s="14"/>
      <c r="E160" s="14"/>
      <c r="F160" s="14"/>
      <c r="G160" s="15"/>
      <c r="H160" s="15"/>
      <c r="I160" s="17" t="str">
        <f aca="false">IF(OR(AND($A160="",$B160="",$C160="",$D160="",$E160="",$F160="",$G160="",$H160=""),NOT($S160="")),"",ROUND($C160*($D160+$E160)/60,4))</f>
        <v/>
      </c>
      <c r="J160" s="18" t="str">
        <f aca="false">IF(OR(AND($A160="",$B160="",$C160="",$D160="",$E160="",$F160="",$G160="",$H160=""),NOT($S160="")),"",ROUND(ROUND($C160*($D160+$E160)/60*$B$5,9),2))</f>
        <v/>
      </c>
      <c r="K160" s="18" t="str">
        <f aca="false">IF(OR(AND($A160="",$B160="",$C160="",$D160="",$E160="",$F160="",$G160="",$H160=""),NOT($S160="")),"",ROUND(ROUND($C160*$F160*$B$6,9),2))</f>
        <v/>
      </c>
      <c r="L160" s="18" t="str">
        <f aca="false">IF(OR(AND($A160="",$B160="",$C160="",$D160="",$E160="",$F160="",$G160="",$H160=""),NOT($S160="")),"",ROUND(ROUND($C160*$G160,9),2))</f>
        <v/>
      </c>
      <c r="M160" s="19" t="str">
        <f aca="false">IF(OR(AND($A160="",$B160="",$C160="",$D160="",$E160="",$F160="",$G160="",$H160=""),NOT($S160="")),"",ROUND($J160+$K160+$L160+$H160,2))</f>
        <v/>
      </c>
      <c r="N160" s="19" t="str">
        <f aca="false">IF(OR(AND($A160="",$B160="",$C160="",$D160="",$E160="",$F160="",$G160="",$H160=""),NOT($S160="")),"",ROUND($B160-$M160,2))</f>
        <v/>
      </c>
      <c r="O160" s="20" t="str">
        <f aca="false">IF(OR(AND($A160="",$B160="",$C160="",$D160="",$E160="",$F160="",$G160="",$H160=""),NOT($S160="")),"",IF($B160=0,"n/a",INT(ROUND($N160/$B160*10000,6))/10000))</f>
        <v/>
      </c>
      <c r="P160" s="18" t="str">
        <f aca="false">IF(OR(AND($A160="",$B160="",$C160="",$D160="",$E160="",$F160="",$G160="",$H160=""),NOT($S160="")),"",ROUNDUP(ROUND($M160*10000/(10000-TargetH),9),2))</f>
        <v/>
      </c>
      <c r="Q160" s="18" t="str">
        <f aca="false">IF(OR(AND($A160="",$B160="",$C160="",$D160="",$E160="",$F160="",$G160="",$H160=""),NOT($S160="")),"",MAX(0,ROUND($P160-$B160,2)))</f>
        <v/>
      </c>
      <c r="R160" s="21" t="str">
        <f aca="false">IF(AND($A160="",$B160="",$C160="",$D160="",$E160="",$F160="",$G160="",$H160=""),"",IF(NOT($S160=""),"Check inputs",IF($B160=0,"No fee entered",IF($N160&lt;0,"Losing money on entered costs",IF(ROUND($N160*100,0)*10000&lt;TargetH*ROUND($B160*100,0),"Below your target","Meets your target")))))</f>
        <v/>
      </c>
      <c r="S160" s="22" t="str">
        <f aca="false">IF(AND($A160="",$B160="",$C160="",$D160="",$E160="",$F160="",$G160="",$H160=""),"",TRIM(IF($A160="","Customer/site label is missing. ","")&amp;IF($B160="","Monthly fee is missing. ",IF(NOT(ISNUMBER($B160)),"Monthly fee must be a number. ",IF($B160&lt;0,"Monthly fee can't be negative. ",IF(ROUND($B160,2)&lt;&gt;$B160,"Monthly fee: use up to 2 decimal places. ",IF($B160&gt;99999.99,"Monthly fee: use 99,999.99 or less. ","")))))&amp;IF($C160="","Visits per month is missing. ",IF(NOT(ISNUMBER($C160)),"Visits per month must be a number. ",IF($C160&lt;0,"Visits per month can't be negative. ",IF(ROUND($C160,3)&lt;&gt;$C160,"Visits per month: use up to 3 decimal places. ",IF($C160=0,"Visits per month must be more than 0. ",IF($C160&gt;31,"Visits per month: use 31 or less. ",""))))))&amp;IF($D160="","Service minutes per visit is missing. ",IF(NOT(ISNUMBER($D160)),"Service minutes per visit must be a number. ",IF($D160&lt;0,"Service minutes per visit can't be negative. ",IF(ROUND($D160,2)&lt;&gt;$D160,"Service minutes per visit: use up to 2 decimal places. ",IF($D160=0,"Service minutes per visit must be more than 0. ",IF($D160&gt;600,"Service minutes per visit: use 600 or less. ",""))))))&amp;IF($E160="","Drive minutes per visit is missing. ",IF(NOT(ISNUMBER($E160)),"Drive minutes per visit must be a number. ",IF($E160&lt;0,"Drive minutes per visit can't be negative. ",IF(ROUND($E160,2)&lt;&gt;$E160,"Drive minutes per visit: use up to 2 decimal places. ",IF($E160&gt;600,"Drive minutes per visit: use 600 or less. ","")))))&amp;IF($F160="","Drive miles per visit is missing. ",IF(NOT(ISNUMBER($F160)),"Drive miles per visit must be a number. ",IF($F160&lt;0,"Drive miles per visit can't be negative. ",IF(ROUND($F160,2)&lt;&gt;$F160,"Drive miles per visit: use up to 2 decimal places. ",IF($F160&gt;1000,"Drive miles per visit: use 1,000 or less. ","")))))&amp;IF($G160="","Chemicals per visit is missing. ",IF(NOT(ISNUMBER($G160)),"Chemicals per visit must be a number. ",IF($G160&lt;0,"Chemicals per visit can't be negative. ",IF(ROUND($G160,2)&lt;&gt;$G160,"Chemicals per visit: use up to 2 decimal places. ",IF($G160&gt;9999.99,"Chemicals per visit: use 9,999.99 or less. ","")))))&amp;IF($H160="","Other monthly costs is missing. ",IF(NOT(ISNUMBER($H160)),"Other monthly costs must be a number. ",IF($H160&lt;0,"Other monthly costs can't be negative. ",IF(ROUND($H160,2)&lt;&gt;$H160,"Other monthly costs: use up to 2 decimal places. ",IF($H160&gt;99999.99,"Other monthly costs: use 99,999.99 or less. ","")))))&amp;IF(SettingsOK,"","Settings incomplete.")))</f>
        <v/>
      </c>
      <c r="T160" s="23" t="str">
        <f aca="false">IF(AND($A160="",$B160="",$C160="",$D160="",$E160="",$F160="",$G160="",$H160=""),"",IF(Review!$B$5="Check inputs",IF($R160="Check inputs",ROW(),""),IF($R160="Check inputs",IF(Review!$B$5="All accounts",-2000000000000000+ROW(),""),IF(AND(Review!$B$5="Needs review",$R160="Meets your target"),"",IF($R160="No fee entered",-1000000000000000+ROW(),$N160/$B160+ROW()/1000000000)))))</f>
        <v/>
      </c>
    </row>
    <row r="161" customFormat="false" ht="15" hidden="false" customHeight="false" outlineLevel="0" collapsed="false">
      <c r="A161" s="14"/>
      <c r="B161" s="15"/>
      <c r="C161" s="16"/>
      <c r="D161" s="14"/>
      <c r="E161" s="14"/>
      <c r="F161" s="14"/>
      <c r="G161" s="15"/>
      <c r="H161" s="15"/>
      <c r="I161" s="17" t="str">
        <f aca="false">IF(OR(AND($A161="",$B161="",$C161="",$D161="",$E161="",$F161="",$G161="",$H161=""),NOT($S161="")),"",ROUND($C161*($D161+$E161)/60,4))</f>
        <v/>
      </c>
      <c r="J161" s="18" t="str">
        <f aca="false">IF(OR(AND($A161="",$B161="",$C161="",$D161="",$E161="",$F161="",$G161="",$H161=""),NOT($S161="")),"",ROUND(ROUND($C161*($D161+$E161)/60*$B$5,9),2))</f>
        <v/>
      </c>
      <c r="K161" s="18" t="str">
        <f aca="false">IF(OR(AND($A161="",$B161="",$C161="",$D161="",$E161="",$F161="",$G161="",$H161=""),NOT($S161="")),"",ROUND(ROUND($C161*$F161*$B$6,9),2))</f>
        <v/>
      </c>
      <c r="L161" s="18" t="str">
        <f aca="false">IF(OR(AND($A161="",$B161="",$C161="",$D161="",$E161="",$F161="",$G161="",$H161=""),NOT($S161="")),"",ROUND(ROUND($C161*$G161,9),2))</f>
        <v/>
      </c>
      <c r="M161" s="19" t="str">
        <f aca="false">IF(OR(AND($A161="",$B161="",$C161="",$D161="",$E161="",$F161="",$G161="",$H161=""),NOT($S161="")),"",ROUND($J161+$K161+$L161+$H161,2))</f>
        <v/>
      </c>
      <c r="N161" s="19" t="str">
        <f aca="false">IF(OR(AND($A161="",$B161="",$C161="",$D161="",$E161="",$F161="",$G161="",$H161=""),NOT($S161="")),"",ROUND($B161-$M161,2))</f>
        <v/>
      </c>
      <c r="O161" s="20" t="str">
        <f aca="false">IF(OR(AND($A161="",$B161="",$C161="",$D161="",$E161="",$F161="",$G161="",$H161=""),NOT($S161="")),"",IF($B161=0,"n/a",INT(ROUND($N161/$B161*10000,6))/10000))</f>
        <v/>
      </c>
      <c r="P161" s="18" t="str">
        <f aca="false">IF(OR(AND($A161="",$B161="",$C161="",$D161="",$E161="",$F161="",$G161="",$H161=""),NOT($S161="")),"",ROUNDUP(ROUND($M161*10000/(10000-TargetH),9),2))</f>
        <v/>
      </c>
      <c r="Q161" s="18" t="str">
        <f aca="false">IF(OR(AND($A161="",$B161="",$C161="",$D161="",$E161="",$F161="",$G161="",$H161=""),NOT($S161="")),"",MAX(0,ROUND($P161-$B161,2)))</f>
        <v/>
      </c>
      <c r="R161" s="21" t="str">
        <f aca="false">IF(AND($A161="",$B161="",$C161="",$D161="",$E161="",$F161="",$G161="",$H161=""),"",IF(NOT($S161=""),"Check inputs",IF($B161=0,"No fee entered",IF($N161&lt;0,"Losing money on entered costs",IF(ROUND($N161*100,0)*10000&lt;TargetH*ROUND($B161*100,0),"Below your target","Meets your target")))))</f>
        <v/>
      </c>
      <c r="S161" s="22" t="str">
        <f aca="false">IF(AND($A161="",$B161="",$C161="",$D161="",$E161="",$F161="",$G161="",$H161=""),"",TRIM(IF($A161="","Customer/site label is missing. ","")&amp;IF($B161="","Monthly fee is missing. ",IF(NOT(ISNUMBER($B161)),"Monthly fee must be a number. ",IF($B161&lt;0,"Monthly fee can't be negative. ",IF(ROUND($B161,2)&lt;&gt;$B161,"Monthly fee: use up to 2 decimal places. ",IF($B161&gt;99999.99,"Monthly fee: use 99,999.99 or less. ","")))))&amp;IF($C161="","Visits per month is missing. ",IF(NOT(ISNUMBER($C161)),"Visits per month must be a number. ",IF($C161&lt;0,"Visits per month can't be negative. ",IF(ROUND($C161,3)&lt;&gt;$C161,"Visits per month: use up to 3 decimal places. ",IF($C161=0,"Visits per month must be more than 0. ",IF($C161&gt;31,"Visits per month: use 31 or less. ",""))))))&amp;IF($D161="","Service minutes per visit is missing. ",IF(NOT(ISNUMBER($D161)),"Service minutes per visit must be a number. ",IF($D161&lt;0,"Service minutes per visit can't be negative. ",IF(ROUND($D161,2)&lt;&gt;$D161,"Service minutes per visit: use up to 2 decimal places. ",IF($D161=0,"Service minutes per visit must be more than 0. ",IF($D161&gt;600,"Service minutes per visit: use 600 or less. ",""))))))&amp;IF($E161="","Drive minutes per visit is missing. ",IF(NOT(ISNUMBER($E161)),"Drive minutes per visit must be a number. ",IF($E161&lt;0,"Drive minutes per visit can't be negative. ",IF(ROUND($E161,2)&lt;&gt;$E161,"Drive minutes per visit: use up to 2 decimal places. ",IF($E161&gt;600,"Drive minutes per visit: use 600 or less. ","")))))&amp;IF($F161="","Drive miles per visit is missing. ",IF(NOT(ISNUMBER($F161)),"Drive miles per visit must be a number. ",IF($F161&lt;0,"Drive miles per visit can't be negative. ",IF(ROUND($F161,2)&lt;&gt;$F161,"Drive miles per visit: use up to 2 decimal places. ",IF($F161&gt;1000,"Drive miles per visit: use 1,000 or less. ","")))))&amp;IF($G161="","Chemicals per visit is missing. ",IF(NOT(ISNUMBER($G161)),"Chemicals per visit must be a number. ",IF($G161&lt;0,"Chemicals per visit can't be negative. ",IF(ROUND($G161,2)&lt;&gt;$G161,"Chemicals per visit: use up to 2 decimal places. ",IF($G161&gt;9999.99,"Chemicals per visit: use 9,999.99 or less. ","")))))&amp;IF($H161="","Other monthly costs is missing. ",IF(NOT(ISNUMBER($H161)),"Other monthly costs must be a number. ",IF($H161&lt;0,"Other monthly costs can't be negative. ",IF(ROUND($H161,2)&lt;&gt;$H161,"Other monthly costs: use up to 2 decimal places. ",IF($H161&gt;99999.99,"Other monthly costs: use 99,999.99 or less. ","")))))&amp;IF(SettingsOK,"","Settings incomplete.")))</f>
        <v/>
      </c>
      <c r="T161" s="23" t="str">
        <f aca="false">IF(AND($A161="",$B161="",$C161="",$D161="",$E161="",$F161="",$G161="",$H161=""),"",IF(Review!$B$5="Check inputs",IF($R161="Check inputs",ROW(),""),IF($R161="Check inputs",IF(Review!$B$5="All accounts",-2000000000000000+ROW(),""),IF(AND(Review!$B$5="Needs review",$R161="Meets your target"),"",IF($R161="No fee entered",-1000000000000000+ROW(),$N161/$B161+ROW()/1000000000)))))</f>
        <v/>
      </c>
    </row>
    <row r="162" customFormat="false" ht="15" hidden="false" customHeight="false" outlineLevel="0" collapsed="false">
      <c r="A162" s="14"/>
      <c r="B162" s="15"/>
      <c r="C162" s="16"/>
      <c r="D162" s="14"/>
      <c r="E162" s="14"/>
      <c r="F162" s="14"/>
      <c r="G162" s="15"/>
      <c r="H162" s="15"/>
      <c r="I162" s="17" t="str">
        <f aca="false">IF(OR(AND($A162="",$B162="",$C162="",$D162="",$E162="",$F162="",$G162="",$H162=""),NOT($S162="")),"",ROUND($C162*($D162+$E162)/60,4))</f>
        <v/>
      </c>
      <c r="J162" s="18" t="str">
        <f aca="false">IF(OR(AND($A162="",$B162="",$C162="",$D162="",$E162="",$F162="",$G162="",$H162=""),NOT($S162="")),"",ROUND(ROUND($C162*($D162+$E162)/60*$B$5,9),2))</f>
        <v/>
      </c>
      <c r="K162" s="18" t="str">
        <f aca="false">IF(OR(AND($A162="",$B162="",$C162="",$D162="",$E162="",$F162="",$G162="",$H162=""),NOT($S162="")),"",ROUND(ROUND($C162*$F162*$B$6,9),2))</f>
        <v/>
      </c>
      <c r="L162" s="18" t="str">
        <f aca="false">IF(OR(AND($A162="",$B162="",$C162="",$D162="",$E162="",$F162="",$G162="",$H162=""),NOT($S162="")),"",ROUND(ROUND($C162*$G162,9),2))</f>
        <v/>
      </c>
      <c r="M162" s="19" t="str">
        <f aca="false">IF(OR(AND($A162="",$B162="",$C162="",$D162="",$E162="",$F162="",$G162="",$H162=""),NOT($S162="")),"",ROUND($J162+$K162+$L162+$H162,2))</f>
        <v/>
      </c>
      <c r="N162" s="19" t="str">
        <f aca="false">IF(OR(AND($A162="",$B162="",$C162="",$D162="",$E162="",$F162="",$G162="",$H162=""),NOT($S162="")),"",ROUND($B162-$M162,2))</f>
        <v/>
      </c>
      <c r="O162" s="20" t="str">
        <f aca="false">IF(OR(AND($A162="",$B162="",$C162="",$D162="",$E162="",$F162="",$G162="",$H162=""),NOT($S162="")),"",IF($B162=0,"n/a",INT(ROUND($N162/$B162*10000,6))/10000))</f>
        <v/>
      </c>
      <c r="P162" s="18" t="str">
        <f aca="false">IF(OR(AND($A162="",$B162="",$C162="",$D162="",$E162="",$F162="",$G162="",$H162=""),NOT($S162="")),"",ROUNDUP(ROUND($M162*10000/(10000-TargetH),9),2))</f>
        <v/>
      </c>
      <c r="Q162" s="18" t="str">
        <f aca="false">IF(OR(AND($A162="",$B162="",$C162="",$D162="",$E162="",$F162="",$G162="",$H162=""),NOT($S162="")),"",MAX(0,ROUND($P162-$B162,2)))</f>
        <v/>
      </c>
      <c r="R162" s="21" t="str">
        <f aca="false">IF(AND($A162="",$B162="",$C162="",$D162="",$E162="",$F162="",$G162="",$H162=""),"",IF(NOT($S162=""),"Check inputs",IF($B162=0,"No fee entered",IF($N162&lt;0,"Losing money on entered costs",IF(ROUND($N162*100,0)*10000&lt;TargetH*ROUND($B162*100,0),"Below your target","Meets your target")))))</f>
        <v/>
      </c>
      <c r="S162" s="22" t="str">
        <f aca="false">IF(AND($A162="",$B162="",$C162="",$D162="",$E162="",$F162="",$G162="",$H162=""),"",TRIM(IF($A162="","Customer/site label is missing. ","")&amp;IF($B162="","Monthly fee is missing. ",IF(NOT(ISNUMBER($B162)),"Monthly fee must be a number. ",IF($B162&lt;0,"Monthly fee can't be negative. ",IF(ROUND($B162,2)&lt;&gt;$B162,"Monthly fee: use up to 2 decimal places. ",IF($B162&gt;99999.99,"Monthly fee: use 99,999.99 or less. ","")))))&amp;IF($C162="","Visits per month is missing. ",IF(NOT(ISNUMBER($C162)),"Visits per month must be a number. ",IF($C162&lt;0,"Visits per month can't be negative. ",IF(ROUND($C162,3)&lt;&gt;$C162,"Visits per month: use up to 3 decimal places. ",IF($C162=0,"Visits per month must be more than 0. ",IF($C162&gt;31,"Visits per month: use 31 or less. ",""))))))&amp;IF($D162="","Service minutes per visit is missing. ",IF(NOT(ISNUMBER($D162)),"Service minutes per visit must be a number. ",IF($D162&lt;0,"Service minutes per visit can't be negative. ",IF(ROUND($D162,2)&lt;&gt;$D162,"Service minutes per visit: use up to 2 decimal places. ",IF($D162=0,"Service minutes per visit must be more than 0. ",IF($D162&gt;600,"Service minutes per visit: use 600 or less. ",""))))))&amp;IF($E162="","Drive minutes per visit is missing. ",IF(NOT(ISNUMBER($E162)),"Drive minutes per visit must be a number. ",IF($E162&lt;0,"Drive minutes per visit can't be negative. ",IF(ROUND($E162,2)&lt;&gt;$E162,"Drive minutes per visit: use up to 2 decimal places. ",IF($E162&gt;600,"Drive minutes per visit: use 600 or less. ","")))))&amp;IF($F162="","Drive miles per visit is missing. ",IF(NOT(ISNUMBER($F162)),"Drive miles per visit must be a number. ",IF($F162&lt;0,"Drive miles per visit can't be negative. ",IF(ROUND($F162,2)&lt;&gt;$F162,"Drive miles per visit: use up to 2 decimal places. ",IF($F162&gt;1000,"Drive miles per visit: use 1,000 or less. ","")))))&amp;IF($G162="","Chemicals per visit is missing. ",IF(NOT(ISNUMBER($G162)),"Chemicals per visit must be a number. ",IF($G162&lt;0,"Chemicals per visit can't be negative. ",IF(ROUND($G162,2)&lt;&gt;$G162,"Chemicals per visit: use up to 2 decimal places. ",IF($G162&gt;9999.99,"Chemicals per visit: use 9,999.99 or less. ","")))))&amp;IF($H162="","Other monthly costs is missing. ",IF(NOT(ISNUMBER($H162)),"Other monthly costs must be a number. ",IF($H162&lt;0,"Other monthly costs can't be negative. ",IF(ROUND($H162,2)&lt;&gt;$H162,"Other monthly costs: use up to 2 decimal places. ",IF($H162&gt;99999.99,"Other monthly costs: use 99,999.99 or less. ","")))))&amp;IF(SettingsOK,"","Settings incomplete.")))</f>
        <v/>
      </c>
      <c r="T162" s="23" t="str">
        <f aca="false">IF(AND($A162="",$B162="",$C162="",$D162="",$E162="",$F162="",$G162="",$H162=""),"",IF(Review!$B$5="Check inputs",IF($R162="Check inputs",ROW(),""),IF($R162="Check inputs",IF(Review!$B$5="All accounts",-2000000000000000+ROW(),""),IF(AND(Review!$B$5="Needs review",$R162="Meets your target"),"",IF($R162="No fee entered",-1000000000000000+ROW(),$N162/$B162+ROW()/1000000000)))))</f>
        <v/>
      </c>
    </row>
    <row r="163" customFormat="false" ht="15" hidden="false" customHeight="false" outlineLevel="0" collapsed="false">
      <c r="A163" s="14"/>
      <c r="B163" s="15"/>
      <c r="C163" s="16"/>
      <c r="D163" s="14"/>
      <c r="E163" s="14"/>
      <c r="F163" s="14"/>
      <c r="G163" s="15"/>
      <c r="H163" s="15"/>
      <c r="I163" s="17" t="str">
        <f aca="false">IF(OR(AND($A163="",$B163="",$C163="",$D163="",$E163="",$F163="",$G163="",$H163=""),NOT($S163="")),"",ROUND($C163*($D163+$E163)/60,4))</f>
        <v/>
      </c>
      <c r="J163" s="18" t="str">
        <f aca="false">IF(OR(AND($A163="",$B163="",$C163="",$D163="",$E163="",$F163="",$G163="",$H163=""),NOT($S163="")),"",ROUND(ROUND($C163*($D163+$E163)/60*$B$5,9),2))</f>
        <v/>
      </c>
      <c r="K163" s="18" t="str">
        <f aca="false">IF(OR(AND($A163="",$B163="",$C163="",$D163="",$E163="",$F163="",$G163="",$H163=""),NOT($S163="")),"",ROUND(ROUND($C163*$F163*$B$6,9),2))</f>
        <v/>
      </c>
      <c r="L163" s="18" t="str">
        <f aca="false">IF(OR(AND($A163="",$B163="",$C163="",$D163="",$E163="",$F163="",$G163="",$H163=""),NOT($S163="")),"",ROUND(ROUND($C163*$G163,9),2))</f>
        <v/>
      </c>
      <c r="M163" s="19" t="str">
        <f aca="false">IF(OR(AND($A163="",$B163="",$C163="",$D163="",$E163="",$F163="",$G163="",$H163=""),NOT($S163="")),"",ROUND($J163+$K163+$L163+$H163,2))</f>
        <v/>
      </c>
      <c r="N163" s="19" t="str">
        <f aca="false">IF(OR(AND($A163="",$B163="",$C163="",$D163="",$E163="",$F163="",$G163="",$H163=""),NOT($S163="")),"",ROUND($B163-$M163,2))</f>
        <v/>
      </c>
      <c r="O163" s="20" t="str">
        <f aca="false">IF(OR(AND($A163="",$B163="",$C163="",$D163="",$E163="",$F163="",$G163="",$H163=""),NOT($S163="")),"",IF($B163=0,"n/a",INT(ROUND($N163/$B163*10000,6))/10000))</f>
        <v/>
      </c>
      <c r="P163" s="18" t="str">
        <f aca="false">IF(OR(AND($A163="",$B163="",$C163="",$D163="",$E163="",$F163="",$G163="",$H163=""),NOT($S163="")),"",ROUNDUP(ROUND($M163*10000/(10000-TargetH),9),2))</f>
        <v/>
      </c>
      <c r="Q163" s="18" t="str">
        <f aca="false">IF(OR(AND($A163="",$B163="",$C163="",$D163="",$E163="",$F163="",$G163="",$H163=""),NOT($S163="")),"",MAX(0,ROUND($P163-$B163,2)))</f>
        <v/>
      </c>
      <c r="R163" s="21" t="str">
        <f aca="false">IF(AND($A163="",$B163="",$C163="",$D163="",$E163="",$F163="",$G163="",$H163=""),"",IF(NOT($S163=""),"Check inputs",IF($B163=0,"No fee entered",IF($N163&lt;0,"Losing money on entered costs",IF(ROUND($N163*100,0)*10000&lt;TargetH*ROUND($B163*100,0),"Below your target","Meets your target")))))</f>
        <v/>
      </c>
      <c r="S163" s="22" t="str">
        <f aca="false">IF(AND($A163="",$B163="",$C163="",$D163="",$E163="",$F163="",$G163="",$H163=""),"",TRIM(IF($A163="","Customer/site label is missing. ","")&amp;IF($B163="","Monthly fee is missing. ",IF(NOT(ISNUMBER($B163)),"Monthly fee must be a number. ",IF($B163&lt;0,"Monthly fee can't be negative. ",IF(ROUND($B163,2)&lt;&gt;$B163,"Monthly fee: use up to 2 decimal places. ",IF($B163&gt;99999.99,"Monthly fee: use 99,999.99 or less. ","")))))&amp;IF($C163="","Visits per month is missing. ",IF(NOT(ISNUMBER($C163)),"Visits per month must be a number. ",IF($C163&lt;0,"Visits per month can't be negative. ",IF(ROUND($C163,3)&lt;&gt;$C163,"Visits per month: use up to 3 decimal places. ",IF($C163=0,"Visits per month must be more than 0. ",IF($C163&gt;31,"Visits per month: use 31 or less. ",""))))))&amp;IF($D163="","Service minutes per visit is missing. ",IF(NOT(ISNUMBER($D163)),"Service minutes per visit must be a number. ",IF($D163&lt;0,"Service minutes per visit can't be negative. ",IF(ROUND($D163,2)&lt;&gt;$D163,"Service minutes per visit: use up to 2 decimal places. ",IF($D163=0,"Service minutes per visit must be more than 0. ",IF($D163&gt;600,"Service minutes per visit: use 600 or less. ",""))))))&amp;IF($E163="","Drive minutes per visit is missing. ",IF(NOT(ISNUMBER($E163)),"Drive minutes per visit must be a number. ",IF($E163&lt;0,"Drive minutes per visit can't be negative. ",IF(ROUND($E163,2)&lt;&gt;$E163,"Drive minutes per visit: use up to 2 decimal places. ",IF($E163&gt;600,"Drive minutes per visit: use 600 or less. ","")))))&amp;IF($F163="","Drive miles per visit is missing. ",IF(NOT(ISNUMBER($F163)),"Drive miles per visit must be a number. ",IF($F163&lt;0,"Drive miles per visit can't be negative. ",IF(ROUND($F163,2)&lt;&gt;$F163,"Drive miles per visit: use up to 2 decimal places. ",IF($F163&gt;1000,"Drive miles per visit: use 1,000 or less. ","")))))&amp;IF($G163="","Chemicals per visit is missing. ",IF(NOT(ISNUMBER($G163)),"Chemicals per visit must be a number. ",IF($G163&lt;0,"Chemicals per visit can't be negative. ",IF(ROUND($G163,2)&lt;&gt;$G163,"Chemicals per visit: use up to 2 decimal places. ",IF($G163&gt;9999.99,"Chemicals per visit: use 9,999.99 or less. ","")))))&amp;IF($H163="","Other monthly costs is missing. ",IF(NOT(ISNUMBER($H163)),"Other monthly costs must be a number. ",IF($H163&lt;0,"Other monthly costs can't be negative. ",IF(ROUND($H163,2)&lt;&gt;$H163,"Other monthly costs: use up to 2 decimal places. ",IF($H163&gt;99999.99,"Other monthly costs: use 99,999.99 or less. ","")))))&amp;IF(SettingsOK,"","Settings incomplete.")))</f>
        <v/>
      </c>
      <c r="T163" s="23" t="str">
        <f aca="false">IF(AND($A163="",$B163="",$C163="",$D163="",$E163="",$F163="",$G163="",$H163=""),"",IF(Review!$B$5="Check inputs",IF($R163="Check inputs",ROW(),""),IF($R163="Check inputs",IF(Review!$B$5="All accounts",-2000000000000000+ROW(),""),IF(AND(Review!$B$5="Needs review",$R163="Meets your target"),"",IF($R163="No fee entered",-1000000000000000+ROW(),$N163/$B163+ROW()/1000000000)))))</f>
        <v/>
      </c>
    </row>
    <row r="164" customFormat="false" ht="15" hidden="false" customHeight="false" outlineLevel="0" collapsed="false">
      <c r="A164" s="14"/>
      <c r="B164" s="15"/>
      <c r="C164" s="16"/>
      <c r="D164" s="14"/>
      <c r="E164" s="14"/>
      <c r="F164" s="14"/>
      <c r="G164" s="15"/>
      <c r="H164" s="15"/>
      <c r="I164" s="17" t="str">
        <f aca="false">IF(OR(AND($A164="",$B164="",$C164="",$D164="",$E164="",$F164="",$G164="",$H164=""),NOT($S164="")),"",ROUND($C164*($D164+$E164)/60,4))</f>
        <v/>
      </c>
      <c r="J164" s="18" t="str">
        <f aca="false">IF(OR(AND($A164="",$B164="",$C164="",$D164="",$E164="",$F164="",$G164="",$H164=""),NOT($S164="")),"",ROUND(ROUND($C164*($D164+$E164)/60*$B$5,9),2))</f>
        <v/>
      </c>
      <c r="K164" s="18" t="str">
        <f aca="false">IF(OR(AND($A164="",$B164="",$C164="",$D164="",$E164="",$F164="",$G164="",$H164=""),NOT($S164="")),"",ROUND(ROUND($C164*$F164*$B$6,9),2))</f>
        <v/>
      </c>
      <c r="L164" s="18" t="str">
        <f aca="false">IF(OR(AND($A164="",$B164="",$C164="",$D164="",$E164="",$F164="",$G164="",$H164=""),NOT($S164="")),"",ROUND(ROUND($C164*$G164,9),2))</f>
        <v/>
      </c>
      <c r="M164" s="19" t="str">
        <f aca="false">IF(OR(AND($A164="",$B164="",$C164="",$D164="",$E164="",$F164="",$G164="",$H164=""),NOT($S164="")),"",ROUND($J164+$K164+$L164+$H164,2))</f>
        <v/>
      </c>
      <c r="N164" s="19" t="str">
        <f aca="false">IF(OR(AND($A164="",$B164="",$C164="",$D164="",$E164="",$F164="",$G164="",$H164=""),NOT($S164="")),"",ROUND($B164-$M164,2))</f>
        <v/>
      </c>
      <c r="O164" s="20" t="str">
        <f aca="false">IF(OR(AND($A164="",$B164="",$C164="",$D164="",$E164="",$F164="",$G164="",$H164=""),NOT($S164="")),"",IF($B164=0,"n/a",INT(ROUND($N164/$B164*10000,6))/10000))</f>
        <v/>
      </c>
      <c r="P164" s="18" t="str">
        <f aca="false">IF(OR(AND($A164="",$B164="",$C164="",$D164="",$E164="",$F164="",$G164="",$H164=""),NOT($S164="")),"",ROUNDUP(ROUND($M164*10000/(10000-TargetH),9),2))</f>
        <v/>
      </c>
      <c r="Q164" s="18" t="str">
        <f aca="false">IF(OR(AND($A164="",$B164="",$C164="",$D164="",$E164="",$F164="",$G164="",$H164=""),NOT($S164="")),"",MAX(0,ROUND($P164-$B164,2)))</f>
        <v/>
      </c>
      <c r="R164" s="21" t="str">
        <f aca="false">IF(AND($A164="",$B164="",$C164="",$D164="",$E164="",$F164="",$G164="",$H164=""),"",IF(NOT($S164=""),"Check inputs",IF($B164=0,"No fee entered",IF($N164&lt;0,"Losing money on entered costs",IF(ROUND($N164*100,0)*10000&lt;TargetH*ROUND($B164*100,0),"Below your target","Meets your target")))))</f>
        <v/>
      </c>
      <c r="S164" s="22" t="str">
        <f aca="false">IF(AND($A164="",$B164="",$C164="",$D164="",$E164="",$F164="",$G164="",$H164=""),"",TRIM(IF($A164="","Customer/site label is missing. ","")&amp;IF($B164="","Monthly fee is missing. ",IF(NOT(ISNUMBER($B164)),"Monthly fee must be a number. ",IF($B164&lt;0,"Monthly fee can't be negative. ",IF(ROUND($B164,2)&lt;&gt;$B164,"Monthly fee: use up to 2 decimal places. ",IF($B164&gt;99999.99,"Monthly fee: use 99,999.99 or less. ","")))))&amp;IF($C164="","Visits per month is missing. ",IF(NOT(ISNUMBER($C164)),"Visits per month must be a number. ",IF($C164&lt;0,"Visits per month can't be negative. ",IF(ROUND($C164,3)&lt;&gt;$C164,"Visits per month: use up to 3 decimal places. ",IF($C164=0,"Visits per month must be more than 0. ",IF($C164&gt;31,"Visits per month: use 31 or less. ",""))))))&amp;IF($D164="","Service minutes per visit is missing. ",IF(NOT(ISNUMBER($D164)),"Service minutes per visit must be a number. ",IF($D164&lt;0,"Service minutes per visit can't be negative. ",IF(ROUND($D164,2)&lt;&gt;$D164,"Service minutes per visit: use up to 2 decimal places. ",IF($D164=0,"Service minutes per visit must be more than 0. ",IF($D164&gt;600,"Service minutes per visit: use 600 or less. ",""))))))&amp;IF($E164="","Drive minutes per visit is missing. ",IF(NOT(ISNUMBER($E164)),"Drive minutes per visit must be a number. ",IF($E164&lt;0,"Drive minutes per visit can't be negative. ",IF(ROUND($E164,2)&lt;&gt;$E164,"Drive minutes per visit: use up to 2 decimal places. ",IF($E164&gt;600,"Drive minutes per visit: use 600 or less. ","")))))&amp;IF($F164="","Drive miles per visit is missing. ",IF(NOT(ISNUMBER($F164)),"Drive miles per visit must be a number. ",IF($F164&lt;0,"Drive miles per visit can't be negative. ",IF(ROUND($F164,2)&lt;&gt;$F164,"Drive miles per visit: use up to 2 decimal places. ",IF($F164&gt;1000,"Drive miles per visit: use 1,000 or less. ","")))))&amp;IF($G164="","Chemicals per visit is missing. ",IF(NOT(ISNUMBER($G164)),"Chemicals per visit must be a number. ",IF($G164&lt;0,"Chemicals per visit can't be negative. ",IF(ROUND($G164,2)&lt;&gt;$G164,"Chemicals per visit: use up to 2 decimal places. ",IF($G164&gt;9999.99,"Chemicals per visit: use 9,999.99 or less. ","")))))&amp;IF($H164="","Other monthly costs is missing. ",IF(NOT(ISNUMBER($H164)),"Other monthly costs must be a number. ",IF($H164&lt;0,"Other monthly costs can't be negative. ",IF(ROUND($H164,2)&lt;&gt;$H164,"Other monthly costs: use up to 2 decimal places. ",IF($H164&gt;99999.99,"Other monthly costs: use 99,999.99 or less. ","")))))&amp;IF(SettingsOK,"","Settings incomplete.")))</f>
        <v/>
      </c>
      <c r="T164" s="23" t="str">
        <f aca="false">IF(AND($A164="",$B164="",$C164="",$D164="",$E164="",$F164="",$G164="",$H164=""),"",IF(Review!$B$5="Check inputs",IF($R164="Check inputs",ROW(),""),IF($R164="Check inputs",IF(Review!$B$5="All accounts",-2000000000000000+ROW(),""),IF(AND(Review!$B$5="Needs review",$R164="Meets your target"),"",IF($R164="No fee entered",-1000000000000000+ROW(),$N164/$B164+ROW()/1000000000)))))</f>
        <v/>
      </c>
    </row>
    <row r="165" customFormat="false" ht="15" hidden="false" customHeight="false" outlineLevel="0" collapsed="false">
      <c r="A165" s="14"/>
      <c r="B165" s="15"/>
      <c r="C165" s="16"/>
      <c r="D165" s="14"/>
      <c r="E165" s="14"/>
      <c r="F165" s="14"/>
      <c r="G165" s="15"/>
      <c r="H165" s="15"/>
      <c r="I165" s="17" t="str">
        <f aca="false">IF(OR(AND($A165="",$B165="",$C165="",$D165="",$E165="",$F165="",$G165="",$H165=""),NOT($S165="")),"",ROUND($C165*($D165+$E165)/60,4))</f>
        <v/>
      </c>
      <c r="J165" s="18" t="str">
        <f aca="false">IF(OR(AND($A165="",$B165="",$C165="",$D165="",$E165="",$F165="",$G165="",$H165=""),NOT($S165="")),"",ROUND(ROUND($C165*($D165+$E165)/60*$B$5,9),2))</f>
        <v/>
      </c>
      <c r="K165" s="18" t="str">
        <f aca="false">IF(OR(AND($A165="",$B165="",$C165="",$D165="",$E165="",$F165="",$G165="",$H165=""),NOT($S165="")),"",ROUND(ROUND($C165*$F165*$B$6,9),2))</f>
        <v/>
      </c>
      <c r="L165" s="18" t="str">
        <f aca="false">IF(OR(AND($A165="",$B165="",$C165="",$D165="",$E165="",$F165="",$G165="",$H165=""),NOT($S165="")),"",ROUND(ROUND($C165*$G165,9),2))</f>
        <v/>
      </c>
      <c r="M165" s="19" t="str">
        <f aca="false">IF(OR(AND($A165="",$B165="",$C165="",$D165="",$E165="",$F165="",$G165="",$H165=""),NOT($S165="")),"",ROUND($J165+$K165+$L165+$H165,2))</f>
        <v/>
      </c>
      <c r="N165" s="19" t="str">
        <f aca="false">IF(OR(AND($A165="",$B165="",$C165="",$D165="",$E165="",$F165="",$G165="",$H165=""),NOT($S165="")),"",ROUND($B165-$M165,2))</f>
        <v/>
      </c>
      <c r="O165" s="20" t="str">
        <f aca="false">IF(OR(AND($A165="",$B165="",$C165="",$D165="",$E165="",$F165="",$G165="",$H165=""),NOT($S165="")),"",IF($B165=0,"n/a",INT(ROUND($N165/$B165*10000,6))/10000))</f>
        <v/>
      </c>
      <c r="P165" s="18" t="str">
        <f aca="false">IF(OR(AND($A165="",$B165="",$C165="",$D165="",$E165="",$F165="",$G165="",$H165=""),NOT($S165="")),"",ROUNDUP(ROUND($M165*10000/(10000-TargetH),9),2))</f>
        <v/>
      </c>
      <c r="Q165" s="18" t="str">
        <f aca="false">IF(OR(AND($A165="",$B165="",$C165="",$D165="",$E165="",$F165="",$G165="",$H165=""),NOT($S165="")),"",MAX(0,ROUND($P165-$B165,2)))</f>
        <v/>
      </c>
      <c r="R165" s="21" t="str">
        <f aca="false">IF(AND($A165="",$B165="",$C165="",$D165="",$E165="",$F165="",$G165="",$H165=""),"",IF(NOT($S165=""),"Check inputs",IF($B165=0,"No fee entered",IF($N165&lt;0,"Losing money on entered costs",IF(ROUND($N165*100,0)*10000&lt;TargetH*ROUND($B165*100,0),"Below your target","Meets your target")))))</f>
        <v/>
      </c>
      <c r="S165" s="22" t="str">
        <f aca="false">IF(AND($A165="",$B165="",$C165="",$D165="",$E165="",$F165="",$G165="",$H165=""),"",TRIM(IF($A165="","Customer/site label is missing. ","")&amp;IF($B165="","Monthly fee is missing. ",IF(NOT(ISNUMBER($B165)),"Monthly fee must be a number. ",IF($B165&lt;0,"Monthly fee can't be negative. ",IF(ROUND($B165,2)&lt;&gt;$B165,"Monthly fee: use up to 2 decimal places. ",IF($B165&gt;99999.99,"Monthly fee: use 99,999.99 or less. ","")))))&amp;IF($C165="","Visits per month is missing. ",IF(NOT(ISNUMBER($C165)),"Visits per month must be a number. ",IF($C165&lt;0,"Visits per month can't be negative. ",IF(ROUND($C165,3)&lt;&gt;$C165,"Visits per month: use up to 3 decimal places. ",IF($C165=0,"Visits per month must be more than 0. ",IF($C165&gt;31,"Visits per month: use 31 or less. ",""))))))&amp;IF($D165="","Service minutes per visit is missing. ",IF(NOT(ISNUMBER($D165)),"Service minutes per visit must be a number. ",IF($D165&lt;0,"Service minutes per visit can't be negative. ",IF(ROUND($D165,2)&lt;&gt;$D165,"Service minutes per visit: use up to 2 decimal places. ",IF($D165=0,"Service minutes per visit must be more than 0. ",IF($D165&gt;600,"Service minutes per visit: use 600 or less. ",""))))))&amp;IF($E165="","Drive minutes per visit is missing. ",IF(NOT(ISNUMBER($E165)),"Drive minutes per visit must be a number. ",IF($E165&lt;0,"Drive minutes per visit can't be negative. ",IF(ROUND($E165,2)&lt;&gt;$E165,"Drive minutes per visit: use up to 2 decimal places. ",IF($E165&gt;600,"Drive minutes per visit: use 600 or less. ","")))))&amp;IF($F165="","Drive miles per visit is missing. ",IF(NOT(ISNUMBER($F165)),"Drive miles per visit must be a number. ",IF($F165&lt;0,"Drive miles per visit can't be negative. ",IF(ROUND($F165,2)&lt;&gt;$F165,"Drive miles per visit: use up to 2 decimal places. ",IF($F165&gt;1000,"Drive miles per visit: use 1,000 or less. ","")))))&amp;IF($G165="","Chemicals per visit is missing. ",IF(NOT(ISNUMBER($G165)),"Chemicals per visit must be a number. ",IF($G165&lt;0,"Chemicals per visit can't be negative. ",IF(ROUND($G165,2)&lt;&gt;$G165,"Chemicals per visit: use up to 2 decimal places. ",IF($G165&gt;9999.99,"Chemicals per visit: use 9,999.99 or less. ","")))))&amp;IF($H165="","Other monthly costs is missing. ",IF(NOT(ISNUMBER($H165)),"Other monthly costs must be a number. ",IF($H165&lt;0,"Other monthly costs can't be negative. ",IF(ROUND($H165,2)&lt;&gt;$H165,"Other monthly costs: use up to 2 decimal places. ",IF($H165&gt;99999.99,"Other monthly costs: use 99,999.99 or less. ","")))))&amp;IF(SettingsOK,"","Settings incomplete.")))</f>
        <v/>
      </c>
      <c r="T165" s="23" t="str">
        <f aca="false">IF(AND($A165="",$B165="",$C165="",$D165="",$E165="",$F165="",$G165="",$H165=""),"",IF(Review!$B$5="Check inputs",IF($R165="Check inputs",ROW(),""),IF($R165="Check inputs",IF(Review!$B$5="All accounts",-2000000000000000+ROW(),""),IF(AND(Review!$B$5="Needs review",$R165="Meets your target"),"",IF($R165="No fee entered",-1000000000000000+ROW(),$N165/$B165+ROW()/1000000000)))))</f>
        <v/>
      </c>
    </row>
    <row r="166" customFormat="false" ht="15" hidden="false" customHeight="false" outlineLevel="0" collapsed="false">
      <c r="A166" s="14"/>
      <c r="B166" s="15"/>
      <c r="C166" s="16"/>
      <c r="D166" s="14"/>
      <c r="E166" s="14"/>
      <c r="F166" s="14"/>
      <c r="G166" s="15"/>
      <c r="H166" s="15"/>
      <c r="I166" s="17" t="str">
        <f aca="false">IF(OR(AND($A166="",$B166="",$C166="",$D166="",$E166="",$F166="",$G166="",$H166=""),NOT($S166="")),"",ROUND($C166*($D166+$E166)/60,4))</f>
        <v/>
      </c>
      <c r="J166" s="18" t="str">
        <f aca="false">IF(OR(AND($A166="",$B166="",$C166="",$D166="",$E166="",$F166="",$G166="",$H166=""),NOT($S166="")),"",ROUND(ROUND($C166*($D166+$E166)/60*$B$5,9),2))</f>
        <v/>
      </c>
      <c r="K166" s="18" t="str">
        <f aca="false">IF(OR(AND($A166="",$B166="",$C166="",$D166="",$E166="",$F166="",$G166="",$H166=""),NOT($S166="")),"",ROUND(ROUND($C166*$F166*$B$6,9),2))</f>
        <v/>
      </c>
      <c r="L166" s="18" t="str">
        <f aca="false">IF(OR(AND($A166="",$B166="",$C166="",$D166="",$E166="",$F166="",$G166="",$H166=""),NOT($S166="")),"",ROUND(ROUND($C166*$G166,9),2))</f>
        <v/>
      </c>
      <c r="M166" s="19" t="str">
        <f aca="false">IF(OR(AND($A166="",$B166="",$C166="",$D166="",$E166="",$F166="",$G166="",$H166=""),NOT($S166="")),"",ROUND($J166+$K166+$L166+$H166,2))</f>
        <v/>
      </c>
      <c r="N166" s="19" t="str">
        <f aca="false">IF(OR(AND($A166="",$B166="",$C166="",$D166="",$E166="",$F166="",$G166="",$H166=""),NOT($S166="")),"",ROUND($B166-$M166,2))</f>
        <v/>
      </c>
      <c r="O166" s="20" t="str">
        <f aca="false">IF(OR(AND($A166="",$B166="",$C166="",$D166="",$E166="",$F166="",$G166="",$H166=""),NOT($S166="")),"",IF($B166=0,"n/a",INT(ROUND($N166/$B166*10000,6))/10000))</f>
        <v/>
      </c>
      <c r="P166" s="18" t="str">
        <f aca="false">IF(OR(AND($A166="",$B166="",$C166="",$D166="",$E166="",$F166="",$G166="",$H166=""),NOT($S166="")),"",ROUNDUP(ROUND($M166*10000/(10000-TargetH),9),2))</f>
        <v/>
      </c>
      <c r="Q166" s="18" t="str">
        <f aca="false">IF(OR(AND($A166="",$B166="",$C166="",$D166="",$E166="",$F166="",$G166="",$H166=""),NOT($S166="")),"",MAX(0,ROUND($P166-$B166,2)))</f>
        <v/>
      </c>
      <c r="R166" s="21" t="str">
        <f aca="false">IF(AND($A166="",$B166="",$C166="",$D166="",$E166="",$F166="",$G166="",$H166=""),"",IF(NOT($S166=""),"Check inputs",IF($B166=0,"No fee entered",IF($N166&lt;0,"Losing money on entered costs",IF(ROUND($N166*100,0)*10000&lt;TargetH*ROUND($B166*100,0),"Below your target","Meets your target")))))</f>
        <v/>
      </c>
      <c r="S166" s="22" t="str">
        <f aca="false">IF(AND($A166="",$B166="",$C166="",$D166="",$E166="",$F166="",$G166="",$H166=""),"",TRIM(IF($A166="","Customer/site label is missing. ","")&amp;IF($B166="","Monthly fee is missing. ",IF(NOT(ISNUMBER($B166)),"Monthly fee must be a number. ",IF($B166&lt;0,"Monthly fee can't be negative. ",IF(ROUND($B166,2)&lt;&gt;$B166,"Monthly fee: use up to 2 decimal places. ",IF($B166&gt;99999.99,"Monthly fee: use 99,999.99 or less. ","")))))&amp;IF($C166="","Visits per month is missing. ",IF(NOT(ISNUMBER($C166)),"Visits per month must be a number. ",IF($C166&lt;0,"Visits per month can't be negative. ",IF(ROUND($C166,3)&lt;&gt;$C166,"Visits per month: use up to 3 decimal places. ",IF($C166=0,"Visits per month must be more than 0. ",IF($C166&gt;31,"Visits per month: use 31 or less. ",""))))))&amp;IF($D166="","Service minutes per visit is missing. ",IF(NOT(ISNUMBER($D166)),"Service minutes per visit must be a number. ",IF($D166&lt;0,"Service minutes per visit can't be negative. ",IF(ROUND($D166,2)&lt;&gt;$D166,"Service minutes per visit: use up to 2 decimal places. ",IF($D166=0,"Service minutes per visit must be more than 0. ",IF($D166&gt;600,"Service minutes per visit: use 600 or less. ",""))))))&amp;IF($E166="","Drive minutes per visit is missing. ",IF(NOT(ISNUMBER($E166)),"Drive minutes per visit must be a number. ",IF($E166&lt;0,"Drive minutes per visit can't be negative. ",IF(ROUND($E166,2)&lt;&gt;$E166,"Drive minutes per visit: use up to 2 decimal places. ",IF($E166&gt;600,"Drive minutes per visit: use 600 or less. ","")))))&amp;IF($F166="","Drive miles per visit is missing. ",IF(NOT(ISNUMBER($F166)),"Drive miles per visit must be a number. ",IF($F166&lt;0,"Drive miles per visit can't be negative. ",IF(ROUND($F166,2)&lt;&gt;$F166,"Drive miles per visit: use up to 2 decimal places. ",IF($F166&gt;1000,"Drive miles per visit: use 1,000 or less. ","")))))&amp;IF($G166="","Chemicals per visit is missing. ",IF(NOT(ISNUMBER($G166)),"Chemicals per visit must be a number. ",IF($G166&lt;0,"Chemicals per visit can't be negative. ",IF(ROUND($G166,2)&lt;&gt;$G166,"Chemicals per visit: use up to 2 decimal places. ",IF($G166&gt;9999.99,"Chemicals per visit: use 9,999.99 or less. ","")))))&amp;IF($H166="","Other monthly costs is missing. ",IF(NOT(ISNUMBER($H166)),"Other monthly costs must be a number. ",IF($H166&lt;0,"Other monthly costs can't be negative. ",IF(ROUND($H166,2)&lt;&gt;$H166,"Other monthly costs: use up to 2 decimal places. ",IF($H166&gt;99999.99,"Other monthly costs: use 99,999.99 or less. ","")))))&amp;IF(SettingsOK,"","Settings incomplete.")))</f>
        <v/>
      </c>
      <c r="T166" s="23" t="str">
        <f aca="false">IF(AND($A166="",$B166="",$C166="",$D166="",$E166="",$F166="",$G166="",$H166=""),"",IF(Review!$B$5="Check inputs",IF($R166="Check inputs",ROW(),""),IF($R166="Check inputs",IF(Review!$B$5="All accounts",-2000000000000000+ROW(),""),IF(AND(Review!$B$5="Needs review",$R166="Meets your target"),"",IF($R166="No fee entered",-1000000000000000+ROW(),$N166/$B166+ROW()/1000000000)))))</f>
        <v/>
      </c>
    </row>
    <row r="167" customFormat="false" ht="15" hidden="false" customHeight="false" outlineLevel="0" collapsed="false">
      <c r="A167" s="14"/>
      <c r="B167" s="15"/>
      <c r="C167" s="16"/>
      <c r="D167" s="14"/>
      <c r="E167" s="14"/>
      <c r="F167" s="14"/>
      <c r="G167" s="15"/>
      <c r="H167" s="15"/>
      <c r="I167" s="17" t="str">
        <f aca="false">IF(OR(AND($A167="",$B167="",$C167="",$D167="",$E167="",$F167="",$G167="",$H167=""),NOT($S167="")),"",ROUND($C167*($D167+$E167)/60,4))</f>
        <v/>
      </c>
      <c r="J167" s="18" t="str">
        <f aca="false">IF(OR(AND($A167="",$B167="",$C167="",$D167="",$E167="",$F167="",$G167="",$H167=""),NOT($S167="")),"",ROUND(ROUND($C167*($D167+$E167)/60*$B$5,9),2))</f>
        <v/>
      </c>
      <c r="K167" s="18" t="str">
        <f aca="false">IF(OR(AND($A167="",$B167="",$C167="",$D167="",$E167="",$F167="",$G167="",$H167=""),NOT($S167="")),"",ROUND(ROUND($C167*$F167*$B$6,9),2))</f>
        <v/>
      </c>
      <c r="L167" s="18" t="str">
        <f aca="false">IF(OR(AND($A167="",$B167="",$C167="",$D167="",$E167="",$F167="",$G167="",$H167=""),NOT($S167="")),"",ROUND(ROUND($C167*$G167,9),2))</f>
        <v/>
      </c>
      <c r="M167" s="19" t="str">
        <f aca="false">IF(OR(AND($A167="",$B167="",$C167="",$D167="",$E167="",$F167="",$G167="",$H167=""),NOT($S167="")),"",ROUND($J167+$K167+$L167+$H167,2))</f>
        <v/>
      </c>
      <c r="N167" s="19" t="str">
        <f aca="false">IF(OR(AND($A167="",$B167="",$C167="",$D167="",$E167="",$F167="",$G167="",$H167=""),NOT($S167="")),"",ROUND($B167-$M167,2))</f>
        <v/>
      </c>
      <c r="O167" s="20" t="str">
        <f aca="false">IF(OR(AND($A167="",$B167="",$C167="",$D167="",$E167="",$F167="",$G167="",$H167=""),NOT($S167="")),"",IF($B167=0,"n/a",INT(ROUND($N167/$B167*10000,6))/10000))</f>
        <v/>
      </c>
      <c r="P167" s="18" t="str">
        <f aca="false">IF(OR(AND($A167="",$B167="",$C167="",$D167="",$E167="",$F167="",$G167="",$H167=""),NOT($S167="")),"",ROUNDUP(ROUND($M167*10000/(10000-TargetH),9),2))</f>
        <v/>
      </c>
      <c r="Q167" s="18" t="str">
        <f aca="false">IF(OR(AND($A167="",$B167="",$C167="",$D167="",$E167="",$F167="",$G167="",$H167=""),NOT($S167="")),"",MAX(0,ROUND($P167-$B167,2)))</f>
        <v/>
      </c>
      <c r="R167" s="21" t="str">
        <f aca="false">IF(AND($A167="",$B167="",$C167="",$D167="",$E167="",$F167="",$G167="",$H167=""),"",IF(NOT($S167=""),"Check inputs",IF($B167=0,"No fee entered",IF($N167&lt;0,"Losing money on entered costs",IF(ROUND($N167*100,0)*10000&lt;TargetH*ROUND($B167*100,0),"Below your target","Meets your target")))))</f>
        <v/>
      </c>
      <c r="S167" s="22" t="str">
        <f aca="false">IF(AND($A167="",$B167="",$C167="",$D167="",$E167="",$F167="",$G167="",$H167=""),"",TRIM(IF($A167="","Customer/site label is missing. ","")&amp;IF($B167="","Monthly fee is missing. ",IF(NOT(ISNUMBER($B167)),"Monthly fee must be a number. ",IF($B167&lt;0,"Monthly fee can't be negative. ",IF(ROUND($B167,2)&lt;&gt;$B167,"Monthly fee: use up to 2 decimal places. ",IF($B167&gt;99999.99,"Monthly fee: use 99,999.99 or less. ","")))))&amp;IF($C167="","Visits per month is missing. ",IF(NOT(ISNUMBER($C167)),"Visits per month must be a number. ",IF($C167&lt;0,"Visits per month can't be negative. ",IF(ROUND($C167,3)&lt;&gt;$C167,"Visits per month: use up to 3 decimal places. ",IF($C167=0,"Visits per month must be more than 0. ",IF($C167&gt;31,"Visits per month: use 31 or less. ",""))))))&amp;IF($D167="","Service minutes per visit is missing. ",IF(NOT(ISNUMBER($D167)),"Service minutes per visit must be a number. ",IF($D167&lt;0,"Service minutes per visit can't be negative. ",IF(ROUND($D167,2)&lt;&gt;$D167,"Service minutes per visit: use up to 2 decimal places. ",IF($D167=0,"Service minutes per visit must be more than 0. ",IF($D167&gt;600,"Service minutes per visit: use 600 or less. ",""))))))&amp;IF($E167="","Drive minutes per visit is missing. ",IF(NOT(ISNUMBER($E167)),"Drive minutes per visit must be a number. ",IF($E167&lt;0,"Drive minutes per visit can't be negative. ",IF(ROUND($E167,2)&lt;&gt;$E167,"Drive minutes per visit: use up to 2 decimal places. ",IF($E167&gt;600,"Drive minutes per visit: use 600 or less. ","")))))&amp;IF($F167="","Drive miles per visit is missing. ",IF(NOT(ISNUMBER($F167)),"Drive miles per visit must be a number. ",IF($F167&lt;0,"Drive miles per visit can't be negative. ",IF(ROUND($F167,2)&lt;&gt;$F167,"Drive miles per visit: use up to 2 decimal places. ",IF($F167&gt;1000,"Drive miles per visit: use 1,000 or less. ","")))))&amp;IF($G167="","Chemicals per visit is missing. ",IF(NOT(ISNUMBER($G167)),"Chemicals per visit must be a number. ",IF($G167&lt;0,"Chemicals per visit can't be negative. ",IF(ROUND($G167,2)&lt;&gt;$G167,"Chemicals per visit: use up to 2 decimal places. ",IF($G167&gt;9999.99,"Chemicals per visit: use 9,999.99 or less. ","")))))&amp;IF($H167="","Other monthly costs is missing. ",IF(NOT(ISNUMBER($H167)),"Other monthly costs must be a number. ",IF($H167&lt;0,"Other monthly costs can't be negative. ",IF(ROUND($H167,2)&lt;&gt;$H167,"Other monthly costs: use up to 2 decimal places. ",IF($H167&gt;99999.99,"Other monthly costs: use 99,999.99 or less. ","")))))&amp;IF(SettingsOK,"","Settings incomplete.")))</f>
        <v/>
      </c>
      <c r="T167" s="23" t="str">
        <f aca="false">IF(AND($A167="",$B167="",$C167="",$D167="",$E167="",$F167="",$G167="",$H167=""),"",IF(Review!$B$5="Check inputs",IF($R167="Check inputs",ROW(),""),IF($R167="Check inputs",IF(Review!$B$5="All accounts",-2000000000000000+ROW(),""),IF(AND(Review!$B$5="Needs review",$R167="Meets your target"),"",IF($R167="No fee entered",-1000000000000000+ROW(),$N167/$B167+ROW()/1000000000)))))</f>
        <v/>
      </c>
    </row>
    <row r="168" customFormat="false" ht="15" hidden="false" customHeight="false" outlineLevel="0" collapsed="false">
      <c r="A168" s="14"/>
      <c r="B168" s="15"/>
      <c r="C168" s="16"/>
      <c r="D168" s="14"/>
      <c r="E168" s="14"/>
      <c r="F168" s="14"/>
      <c r="G168" s="15"/>
      <c r="H168" s="15"/>
      <c r="I168" s="17" t="str">
        <f aca="false">IF(OR(AND($A168="",$B168="",$C168="",$D168="",$E168="",$F168="",$G168="",$H168=""),NOT($S168="")),"",ROUND($C168*($D168+$E168)/60,4))</f>
        <v/>
      </c>
      <c r="J168" s="18" t="str">
        <f aca="false">IF(OR(AND($A168="",$B168="",$C168="",$D168="",$E168="",$F168="",$G168="",$H168=""),NOT($S168="")),"",ROUND(ROUND($C168*($D168+$E168)/60*$B$5,9),2))</f>
        <v/>
      </c>
      <c r="K168" s="18" t="str">
        <f aca="false">IF(OR(AND($A168="",$B168="",$C168="",$D168="",$E168="",$F168="",$G168="",$H168=""),NOT($S168="")),"",ROUND(ROUND($C168*$F168*$B$6,9),2))</f>
        <v/>
      </c>
      <c r="L168" s="18" t="str">
        <f aca="false">IF(OR(AND($A168="",$B168="",$C168="",$D168="",$E168="",$F168="",$G168="",$H168=""),NOT($S168="")),"",ROUND(ROUND($C168*$G168,9),2))</f>
        <v/>
      </c>
      <c r="M168" s="19" t="str">
        <f aca="false">IF(OR(AND($A168="",$B168="",$C168="",$D168="",$E168="",$F168="",$G168="",$H168=""),NOT($S168="")),"",ROUND($J168+$K168+$L168+$H168,2))</f>
        <v/>
      </c>
      <c r="N168" s="19" t="str">
        <f aca="false">IF(OR(AND($A168="",$B168="",$C168="",$D168="",$E168="",$F168="",$G168="",$H168=""),NOT($S168="")),"",ROUND($B168-$M168,2))</f>
        <v/>
      </c>
      <c r="O168" s="20" t="str">
        <f aca="false">IF(OR(AND($A168="",$B168="",$C168="",$D168="",$E168="",$F168="",$G168="",$H168=""),NOT($S168="")),"",IF($B168=0,"n/a",INT(ROUND($N168/$B168*10000,6))/10000))</f>
        <v/>
      </c>
      <c r="P168" s="18" t="str">
        <f aca="false">IF(OR(AND($A168="",$B168="",$C168="",$D168="",$E168="",$F168="",$G168="",$H168=""),NOT($S168="")),"",ROUNDUP(ROUND($M168*10000/(10000-TargetH),9),2))</f>
        <v/>
      </c>
      <c r="Q168" s="18" t="str">
        <f aca="false">IF(OR(AND($A168="",$B168="",$C168="",$D168="",$E168="",$F168="",$G168="",$H168=""),NOT($S168="")),"",MAX(0,ROUND($P168-$B168,2)))</f>
        <v/>
      </c>
      <c r="R168" s="21" t="str">
        <f aca="false">IF(AND($A168="",$B168="",$C168="",$D168="",$E168="",$F168="",$G168="",$H168=""),"",IF(NOT($S168=""),"Check inputs",IF($B168=0,"No fee entered",IF($N168&lt;0,"Losing money on entered costs",IF(ROUND($N168*100,0)*10000&lt;TargetH*ROUND($B168*100,0),"Below your target","Meets your target")))))</f>
        <v/>
      </c>
      <c r="S168" s="22" t="str">
        <f aca="false">IF(AND($A168="",$B168="",$C168="",$D168="",$E168="",$F168="",$G168="",$H168=""),"",TRIM(IF($A168="","Customer/site label is missing. ","")&amp;IF($B168="","Monthly fee is missing. ",IF(NOT(ISNUMBER($B168)),"Monthly fee must be a number. ",IF($B168&lt;0,"Monthly fee can't be negative. ",IF(ROUND($B168,2)&lt;&gt;$B168,"Monthly fee: use up to 2 decimal places. ",IF($B168&gt;99999.99,"Monthly fee: use 99,999.99 or less. ","")))))&amp;IF($C168="","Visits per month is missing. ",IF(NOT(ISNUMBER($C168)),"Visits per month must be a number. ",IF($C168&lt;0,"Visits per month can't be negative. ",IF(ROUND($C168,3)&lt;&gt;$C168,"Visits per month: use up to 3 decimal places. ",IF($C168=0,"Visits per month must be more than 0. ",IF($C168&gt;31,"Visits per month: use 31 or less. ",""))))))&amp;IF($D168="","Service minutes per visit is missing. ",IF(NOT(ISNUMBER($D168)),"Service minutes per visit must be a number. ",IF($D168&lt;0,"Service minutes per visit can't be negative. ",IF(ROUND($D168,2)&lt;&gt;$D168,"Service minutes per visit: use up to 2 decimal places. ",IF($D168=0,"Service minutes per visit must be more than 0. ",IF($D168&gt;600,"Service minutes per visit: use 600 or less. ",""))))))&amp;IF($E168="","Drive minutes per visit is missing. ",IF(NOT(ISNUMBER($E168)),"Drive minutes per visit must be a number. ",IF($E168&lt;0,"Drive minutes per visit can't be negative. ",IF(ROUND($E168,2)&lt;&gt;$E168,"Drive minutes per visit: use up to 2 decimal places. ",IF($E168&gt;600,"Drive minutes per visit: use 600 or less. ","")))))&amp;IF($F168="","Drive miles per visit is missing. ",IF(NOT(ISNUMBER($F168)),"Drive miles per visit must be a number. ",IF($F168&lt;0,"Drive miles per visit can't be negative. ",IF(ROUND($F168,2)&lt;&gt;$F168,"Drive miles per visit: use up to 2 decimal places. ",IF($F168&gt;1000,"Drive miles per visit: use 1,000 or less. ","")))))&amp;IF($G168="","Chemicals per visit is missing. ",IF(NOT(ISNUMBER($G168)),"Chemicals per visit must be a number. ",IF($G168&lt;0,"Chemicals per visit can't be negative. ",IF(ROUND($G168,2)&lt;&gt;$G168,"Chemicals per visit: use up to 2 decimal places. ",IF($G168&gt;9999.99,"Chemicals per visit: use 9,999.99 or less. ","")))))&amp;IF($H168="","Other monthly costs is missing. ",IF(NOT(ISNUMBER($H168)),"Other monthly costs must be a number. ",IF($H168&lt;0,"Other monthly costs can't be negative. ",IF(ROUND($H168,2)&lt;&gt;$H168,"Other monthly costs: use up to 2 decimal places. ",IF($H168&gt;99999.99,"Other monthly costs: use 99,999.99 or less. ","")))))&amp;IF(SettingsOK,"","Settings incomplete.")))</f>
        <v/>
      </c>
      <c r="T168" s="23" t="str">
        <f aca="false">IF(AND($A168="",$B168="",$C168="",$D168="",$E168="",$F168="",$G168="",$H168=""),"",IF(Review!$B$5="Check inputs",IF($R168="Check inputs",ROW(),""),IF($R168="Check inputs",IF(Review!$B$5="All accounts",-2000000000000000+ROW(),""),IF(AND(Review!$B$5="Needs review",$R168="Meets your target"),"",IF($R168="No fee entered",-1000000000000000+ROW(),$N168/$B168+ROW()/1000000000)))))</f>
        <v/>
      </c>
    </row>
    <row r="169" customFormat="false" ht="15" hidden="false" customHeight="false" outlineLevel="0" collapsed="false">
      <c r="A169" s="14"/>
      <c r="B169" s="15"/>
      <c r="C169" s="16"/>
      <c r="D169" s="14"/>
      <c r="E169" s="14"/>
      <c r="F169" s="14"/>
      <c r="G169" s="15"/>
      <c r="H169" s="15"/>
      <c r="I169" s="17" t="str">
        <f aca="false">IF(OR(AND($A169="",$B169="",$C169="",$D169="",$E169="",$F169="",$G169="",$H169=""),NOT($S169="")),"",ROUND($C169*($D169+$E169)/60,4))</f>
        <v/>
      </c>
      <c r="J169" s="18" t="str">
        <f aca="false">IF(OR(AND($A169="",$B169="",$C169="",$D169="",$E169="",$F169="",$G169="",$H169=""),NOT($S169="")),"",ROUND(ROUND($C169*($D169+$E169)/60*$B$5,9),2))</f>
        <v/>
      </c>
      <c r="K169" s="18" t="str">
        <f aca="false">IF(OR(AND($A169="",$B169="",$C169="",$D169="",$E169="",$F169="",$G169="",$H169=""),NOT($S169="")),"",ROUND(ROUND($C169*$F169*$B$6,9),2))</f>
        <v/>
      </c>
      <c r="L169" s="18" t="str">
        <f aca="false">IF(OR(AND($A169="",$B169="",$C169="",$D169="",$E169="",$F169="",$G169="",$H169=""),NOT($S169="")),"",ROUND(ROUND($C169*$G169,9),2))</f>
        <v/>
      </c>
      <c r="M169" s="19" t="str">
        <f aca="false">IF(OR(AND($A169="",$B169="",$C169="",$D169="",$E169="",$F169="",$G169="",$H169=""),NOT($S169="")),"",ROUND($J169+$K169+$L169+$H169,2))</f>
        <v/>
      </c>
      <c r="N169" s="19" t="str">
        <f aca="false">IF(OR(AND($A169="",$B169="",$C169="",$D169="",$E169="",$F169="",$G169="",$H169=""),NOT($S169="")),"",ROUND($B169-$M169,2))</f>
        <v/>
      </c>
      <c r="O169" s="20" t="str">
        <f aca="false">IF(OR(AND($A169="",$B169="",$C169="",$D169="",$E169="",$F169="",$G169="",$H169=""),NOT($S169="")),"",IF($B169=0,"n/a",INT(ROUND($N169/$B169*10000,6))/10000))</f>
        <v/>
      </c>
      <c r="P169" s="18" t="str">
        <f aca="false">IF(OR(AND($A169="",$B169="",$C169="",$D169="",$E169="",$F169="",$G169="",$H169=""),NOT($S169="")),"",ROUNDUP(ROUND($M169*10000/(10000-TargetH),9),2))</f>
        <v/>
      </c>
      <c r="Q169" s="18" t="str">
        <f aca="false">IF(OR(AND($A169="",$B169="",$C169="",$D169="",$E169="",$F169="",$G169="",$H169=""),NOT($S169="")),"",MAX(0,ROUND($P169-$B169,2)))</f>
        <v/>
      </c>
      <c r="R169" s="21" t="str">
        <f aca="false">IF(AND($A169="",$B169="",$C169="",$D169="",$E169="",$F169="",$G169="",$H169=""),"",IF(NOT($S169=""),"Check inputs",IF($B169=0,"No fee entered",IF($N169&lt;0,"Losing money on entered costs",IF(ROUND($N169*100,0)*10000&lt;TargetH*ROUND($B169*100,0),"Below your target","Meets your target")))))</f>
        <v/>
      </c>
      <c r="S169" s="22" t="str">
        <f aca="false">IF(AND($A169="",$B169="",$C169="",$D169="",$E169="",$F169="",$G169="",$H169=""),"",TRIM(IF($A169="","Customer/site label is missing. ","")&amp;IF($B169="","Monthly fee is missing. ",IF(NOT(ISNUMBER($B169)),"Monthly fee must be a number. ",IF($B169&lt;0,"Monthly fee can't be negative. ",IF(ROUND($B169,2)&lt;&gt;$B169,"Monthly fee: use up to 2 decimal places. ",IF($B169&gt;99999.99,"Monthly fee: use 99,999.99 or less. ","")))))&amp;IF($C169="","Visits per month is missing. ",IF(NOT(ISNUMBER($C169)),"Visits per month must be a number. ",IF($C169&lt;0,"Visits per month can't be negative. ",IF(ROUND($C169,3)&lt;&gt;$C169,"Visits per month: use up to 3 decimal places. ",IF($C169=0,"Visits per month must be more than 0. ",IF($C169&gt;31,"Visits per month: use 31 or less. ",""))))))&amp;IF($D169="","Service minutes per visit is missing. ",IF(NOT(ISNUMBER($D169)),"Service minutes per visit must be a number. ",IF($D169&lt;0,"Service minutes per visit can't be negative. ",IF(ROUND($D169,2)&lt;&gt;$D169,"Service minutes per visit: use up to 2 decimal places. ",IF($D169=0,"Service minutes per visit must be more than 0. ",IF($D169&gt;600,"Service minutes per visit: use 600 or less. ",""))))))&amp;IF($E169="","Drive minutes per visit is missing. ",IF(NOT(ISNUMBER($E169)),"Drive minutes per visit must be a number. ",IF($E169&lt;0,"Drive minutes per visit can't be negative. ",IF(ROUND($E169,2)&lt;&gt;$E169,"Drive minutes per visit: use up to 2 decimal places. ",IF($E169&gt;600,"Drive minutes per visit: use 600 or less. ","")))))&amp;IF($F169="","Drive miles per visit is missing. ",IF(NOT(ISNUMBER($F169)),"Drive miles per visit must be a number. ",IF($F169&lt;0,"Drive miles per visit can't be negative. ",IF(ROUND($F169,2)&lt;&gt;$F169,"Drive miles per visit: use up to 2 decimal places. ",IF($F169&gt;1000,"Drive miles per visit: use 1,000 or less. ","")))))&amp;IF($G169="","Chemicals per visit is missing. ",IF(NOT(ISNUMBER($G169)),"Chemicals per visit must be a number. ",IF($G169&lt;0,"Chemicals per visit can't be negative. ",IF(ROUND($G169,2)&lt;&gt;$G169,"Chemicals per visit: use up to 2 decimal places. ",IF($G169&gt;9999.99,"Chemicals per visit: use 9,999.99 or less. ","")))))&amp;IF($H169="","Other monthly costs is missing. ",IF(NOT(ISNUMBER($H169)),"Other monthly costs must be a number. ",IF($H169&lt;0,"Other monthly costs can't be negative. ",IF(ROUND($H169,2)&lt;&gt;$H169,"Other monthly costs: use up to 2 decimal places. ",IF($H169&gt;99999.99,"Other monthly costs: use 99,999.99 or less. ","")))))&amp;IF(SettingsOK,"","Settings incomplete.")))</f>
        <v/>
      </c>
      <c r="T169" s="23" t="str">
        <f aca="false">IF(AND($A169="",$B169="",$C169="",$D169="",$E169="",$F169="",$G169="",$H169=""),"",IF(Review!$B$5="Check inputs",IF($R169="Check inputs",ROW(),""),IF($R169="Check inputs",IF(Review!$B$5="All accounts",-2000000000000000+ROW(),""),IF(AND(Review!$B$5="Needs review",$R169="Meets your target"),"",IF($R169="No fee entered",-1000000000000000+ROW(),$N169/$B169+ROW()/1000000000)))))</f>
        <v/>
      </c>
    </row>
    <row r="170" customFormat="false" ht="15" hidden="false" customHeight="false" outlineLevel="0" collapsed="false">
      <c r="A170" s="14"/>
      <c r="B170" s="15"/>
      <c r="C170" s="16"/>
      <c r="D170" s="14"/>
      <c r="E170" s="14"/>
      <c r="F170" s="14"/>
      <c r="G170" s="15"/>
      <c r="H170" s="15"/>
      <c r="I170" s="17" t="str">
        <f aca="false">IF(OR(AND($A170="",$B170="",$C170="",$D170="",$E170="",$F170="",$G170="",$H170=""),NOT($S170="")),"",ROUND($C170*($D170+$E170)/60,4))</f>
        <v/>
      </c>
      <c r="J170" s="18" t="str">
        <f aca="false">IF(OR(AND($A170="",$B170="",$C170="",$D170="",$E170="",$F170="",$G170="",$H170=""),NOT($S170="")),"",ROUND(ROUND($C170*($D170+$E170)/60*$B$5,9),2))</f>
        <v/>
      </c>
      <c r="K170" s="18" t="str">
        <f aca="false">IF(OR(AND($A170="",$B170="",$C170="",$D170="",$E170="",$F170="",$G170="",$H170=""),NOT($S170="")),"",ROUND(ROUND($C170*$F170*$B$6,9),2))</f>
        <v/>
      </c>
      <c r="L170" s="18" t="str">
        <f aca="false">IF(OR(AND($A170="",$B170="",$C170="",$D170="",$E170="",$F170="",$G170="",$H170=""),NOT($S170="")),"",ROUND(ROUND($C170*$G170,9),2))</f>
        <v/>
      </c>
      <c r="M170" s="19" t="str">
        <f aca="false">IF(OR(AND($A170="",$B170="",$C170="",$D170="",$E170="",$F170="",$G170="",$H170=""),NOT($S170="")),"",ROUND($J170+$K170+$L170+$H170,2))</f>
        <v/>
      </c>
      <c r="N170" s="19" t="str">
        <f aca="false">IF(OR(AND($A170="",$B170="",$C170="",$D170="",$E170="",$F170="",$G170="",$H170=""),NOT($S170="")),"",ROUND($B170-$M170,2))</f>
        <v/>
      </c>
      <c r="O170" s="20" t="str">
        <f aca="false">IF(OR(AND($A170="",$B170="",$C170="",$D170="",$E170="",$F170="",$G170="",$H170=""),NOT($S170="")),"",IF($B170=0,"n/a",INT(ROUND($N170/$B170*10000,6))/10000))</f>
        <v/>
      </c>
      <c r="P170" s="18" t="str">
        <f aca="false">IF(OR(AND($A170="",$B170="",$C170="",$D170="",$E170="",$F170="",$G170="",$H170=""),NOT($S170="")),"",ROUNDUP(ROUND($M170*10000/(10000-TargetH),9),2))</f>
        <v/>
      </c>
      <c r="Q170" s="18" t="str">
        <f aca="false">IF(OR(AND($A170="",$B170="",$C170="",$D170="",$E170="",$F170="",$G170="",$H170=""),NOT($S170="")),"",MAX(0,ROUND($P170-$B170,2)))</f>
        <v/>
      </c>
      <c r="R170" s="21" t="str">
        <f aca="false">IF(AND($A170="",$B170="",$C170="",$D170="",$E170="",$F170="",$G170="",$H170=""),"",IF(NOT($S170=""),"Check inputs",IF($B170=0,"No fee entered",IF($N170&lt;0,"Losing money on entered costs",IF(ROUND($N170*100,0)*10000&lt;TargetH*ROUND($B170*100,0),"Below your target","Meets your target")))))</f>
        <v/>
      </c>
      <c r="S170" s="22" t="str">
        <f aca="false">IF(AND($A170="",$B170="",$C170="",$D170="",$E170="",$F170="",$G170="",$H170=""),"",TRIM(IF($A170="","Customer/site label is missing. ","")&amp;IF($B170="","Monthly fee is missing. ",IF(NOT(ISNUMBER($B170)),"Monthly fee must be a number. ",IF($B170&lt;0,"Monthly fee can't be negative. ",IF(ROUND($B170,2)&lt;&gt;$B170,"Monthly fee: use up to 2 decimal places. ",IF($B170&gt;99999.99,"Monthly fee: use 99,999.99 or less. ","")))))&amp;IF($C170="","Visits per month is missing. ",IF(NOT(ISNUMBER($C170)),"Visits per month must be a number. ",IF($C170&lt;0,"Visits per month can't be negative. ",IF(ROUND($C170,3)&lt;&gt;$C170,"Visits per month: use up to 3 decimal places. ",IF($C170=0,"Visits per month must be more than 0. ",IF($C170&gt;31,"Visits per month: use 31 or less. ",""))))))&amp;IF($D170="","Service minutes per visit is missing. ",IF(NOT(ISNUMBER($D170)),"Service minutes per visit must be a number. ",IF($D170&lt;0,"Service minutes per visit can't be negative. ",IF(ROUND($D170,2)&lt;&gt;$D170,"Service minutes per visit: use up to 2 decimal places. ",IF($D170=0,"Service minutes per visit must be more than 0. ",IF($D170&gt;600,"Service minutes per visit: use 600 or less. ",""))))))&amp;IF($E170="","Drive minutes per visit is missing. ",IF(NOT(ISNUMBER($E170)),"Drive minutes per visit must be a number. ",IF($E170&lt;0,"Drive minutes per visit can't be negative. ",IF(ROUND($E170,2)&lt;&gt;$E170,"Drive minutes per visit: use up to 2 decimal places. ",IF($E170&gt;600,"Drive minutes per visit: use 600 or less. ","")))))&amp;IF($F170="","Drive miles per visit is missing. ",IF(NOT(ISNUMBER($F170)),"Drive miles per visit must be a number. ",IF($F170&lt;0,"Drive miles per visit can't be negative. ",IF(ROUND($F170,2)&lt;&gt;$F170,"Drive miles per visit: use up to 2 decimal places. ",IF($F170&gt;1000,"Drive miles per visit: use 1,000 or less. ","")))))&amp;IF($G170="","Chemicals per visit is missing. ",IF(NOT(ISNUMBER($G170)),"Chemicals per visit must be a number. ",IF($G170&lt;0,"Chemicals per visit can't be negative. ",IF(ROUND($G170,2)&lt;&gt;$G170,"Chemicals per visit: use up to 2 decimal places. ",IF($G170&gt;9999.99,"Chemicals per visit: use 9,999.99 or less. ","")))))&amp;IF($H170="","Other monthly costs is missing. ",IF(NOT(ISNUMBER($H170)),"Other monthly costs must be a number. ",IF($H170&lt;0,"Other monthly costs can't be negative. ",IF(ROUND($H170,2)&lt;&gt;$H170,"Other monthly costs: use up to 2 decimal places. ",IF($H170&gt;99999.99,"Other monthly costs: use 99,999.99 or less. ","")))))&amp;IF(SettingsOK,"","Settings incomplete.")))</f>
        <v/>
      </c>
      <c r="T170" s="23" t="str">
        <f aca="false">IF(AND($A170="",$B170="",$C170="",$D170="",$E170="",$F170="",$G170="",$H170=""),"",IF(Review!$B$5="Check inputs",IF($R170="Check inputs",ROW(),""),IF($R170="Check inputs",IF(Review!$B$5="All accounts",-2000000000000000+ROW(),""),IF(AND(Review!$B$5="Needs review",$R170="Meets your target"),"",IF($R170="No fee entered",-1000000000000000+ROW(),$N170/$B170+ROW()/1000000000)))))</f>
        <v/>
      </c>
    </row>
    <row r="171" customFormat="false" ht="15" hidden="false" customHeight="false" outlineLevel="0" collapsed="false">
      <c r="A171" s="14"/>
      <c r="B171" s="15"/>
      <c r="C171" s="16"/>
      <c r="D171" s="14"/>
      <c r="E171" s="14"/>
      <c r="F171" s="14"/>
      <c r="G171" s="15"/>
      <c r="H171" s="15"/>
      <c r="I171" s="17" t="str">
        <f aca="false">IF(OR(AND($A171="",$B171="",$C171="",$D171="",$E171="",$F171="",$G171="",$H171=""),NOT($S171="")),"",ROUND($C171*($D171+$E171)/60,4))</f>
        <v/>
      </c>
      <c r="J171" s="18" t="str">
        <f aca="false">IF(OR(AND($A171="",$B171="",$C171="",$D171="",$E171="",$F171="",$G171="",$H171=""),NOT($S171="")),"",ROUND(ROUND($C171*($D171+$E171)/60*$B$5,9),2))</f>
        <v/>
      </c>
      <c r="K171" s="18" t="str">
        <f aca="false">IF(OR(AND($A171="",$B171="",$C171="",$D171="",$E171="",$F171="",$G171="",$H171=""),NOT($S171="")),"",ROUND(ROUND($C171*$F171*$B$6,9),2))</f>
        <v/>
      </c>
      <c r="L171" s="18" t="str">
        <f aca="false">IF(OR(AND($A171="",$B171="",$C171="",$D171="",$E171="",$F171="",$G171="",$H171=""),NOT($S171="")),"",ROUND(ROUND($C171*$G171,9),2))</f>
        <v/>
      </c>
      <c r="M171" s="19" t="str">
        <f aca="false">IF(OR(AND($A171="",$B171="",$C171="",$D171="",$E171="",$F171="",$G171="",$H171=""),NOT($S171="")),"",ROUND($J171+$K171+$L171+$H171,2))</f>
        <v/>
      </c>
      <c r="N171" s="19" t="str">
        <f aca="false">IF(OR(AND($A171="",$B171="",$C171="",$D171="",$E171="",$F171="",$G171="",$H171=""),NOT($S171="")),"",ROUND($B171-$M171,2))</f>
        <v/>
      </c>
      <c r="O171" s="20" t="str">
        <f aca="false">IF(OR(AND($A171="",$B171="",$C171="",$D171="",$E171="",$F171="",$G171="",$H171=""),NOT($S171="")),"",IF($B171=0,"n/a",INT(ROUND($N171/$B171*10000,6))/10000))</f>
        <v/>
      </c>
      <c r="P171" s="18" t="str">
        <f aca="false">IF(OR(AND($A171="",$B171="",$C171="",$D171="",$E171="",$F171="",$G171="",$H171=""),NOT($S171="")),"",ROUNDUP(ROUND($M171*10000/(10000-TargetH),9),2))</f>
        <v/>
      </c>
      <c r="Q171" s="18" t="str">
        <f aca="false">IF(OR(AND($A171="",$B171="",$C171="",$D171="",$E171="",$F171="",$G171="",$H171=""),NOT($S171="")),"",MAX(0,ROUND($P171-$B171,2)))</f>
        <v/>
      </c>
      <c r="R171" s="21" t="str">
        <f aca="false">IF(AND($A171="",$B171="",$C171="",$D171="",$E171="",$F171="",$G171="",$H171=""),"",IF(NOT($S171=""),"Check inputs",IF($B171=0,"No fee entered",IF($N171&lt;0,"Losing money on entered costs",IF(ROUND($N171*100,0)*10000&lt;TargetH*ROUND($B171*100,0),"Below your target","Meets your target")))))</f>
        <v/>
      </c>
      <c r="S171" s="22" t="str">
        <f aca="false">IF(AND($A171="",$B171="",$C171="",$D171="",$E171="",$F171="",$G171="",$H171=""),"",TRIM(IF($A171="","Customer/site label is missing. ","")&amp;IF($B171="","Monthly fee is missing. ",IF(NOT(ISNUMBER($B171)),"Monthly fee must be a number. ",IF($B171&lt;0,"Monthly fee can't be negative. ",IF(ROUND($B171,2)&lt;&gt;$B171,"Monthly fee: use up to 2 decimal places. ",IF($B171&gt;99999.99,"Monthly fee: use 99,999.99 or less. ","")))))&amp;IF($C171="","Visits per month is missing. ",IF(NOT(ISNUMBER($C171)),"Visits per month must be a number. ",IF($C171&lt;0,"Visits per month can't be negative. ",IF(ROUND($C171,3)&lt;&gt;$C171,"Visits per month: use up to 3 decimal places. ",IF($C171=0,"Visits per month must be more than 0. ",IF($C171&gt;31,"Visits per month: use 31 or less. ",""))))))&amp;IF($D171="","Service minutes per visit is missing. ",IF(NOT(ISNUMBER($D171)),"Service minutes per visit must be a number. ",IF($D171&lt;0,"Service minutes per visit can't be negative. ",IF(ROUND($D171,2)&lt;&gt;$D171,"Service minutes per visit: use up to 2 decimal places. ",IF($D171=0,"Service minutes per visit must be more than 0. ",IF($D171&gt;600,"Service minutes per visit: use 600 or less. ",""))))))&amp;IF($E171="","Drive minutes per visit is missing. ",IF(NOT(ISNUMBER($E171)),"Drive minutes per visit must be a number. ",IF($E171&lt;0,"Drive minutes per visit can't be negative. ",IF(ROUND($E171,2)&lt;&gt;$E171,"Drive minutes per visit: use up to 2 decimal places. ",IF($E171&gt;600,"Drive minutes per visit: use 600 or less. ","")))))&amp;IF($F171="","Drive miles per visit is missing. ",IF(NOT(ISNUMBER($F171)),"Drive miles per visit must be a number. ",IF($F171&lt;0,"Drive miles per visit can't be negative. ",IF(ROUND($F171,2)&lt;&gt;$F171,"Drive miles per visit: use up to 2 decimal places. ",IF($F171&gt;1000,"Drive miles per visit: use 1,000 or less. ","")))))&amp;IF($G171="","Chemicals per visit is missing. ",IF(NOT(ISNUMBER($G171)),"Chemicals per visit must be a number. ",IF($G171&lt;0,"Chemicals per visit can't be negative. ",IF(ROUND($G171,2)&lt;&gt;$G171,"Chemicals per visit: use up to 2 decimal places. ",IF($G171&gt;9999.99,"Chemicals per visit: use 9,999.99 or less. ","")))))&amp;IF($H171="","Other monthly costs is missing. ",IF(NOT(ISNUMBER($H171)),"Other monthly costs must be a number. ",IF($H171&lt;0,"Other monthly costs can't be negative. ",IF(ROUND($H171,2)&lt;&gt;$H171,"Other monthly costs: use up to 2 decimal places. ",IF($H171&gt;99999.99,"Other monthly costs: use 99,999.99 or less. ","")))))&amp;IF(SettingsOK,"","Settings incomplete.")))</f>
        <v/>
      </c>
      <c r="T171" s="23" t="str">
        <f aca="false">IF(AND($A171="",$B171="",$C171="",$D171="",$E171="",$F171="",$G171="",$H171=""),"",IF(Review!$B$5="Check inputs",IF($R171="Check inputs",ROW(),""),IF($R171="Check inputs",IF(Review!$B$5="All accounts",-2000000000000000+ROW(),""),IF(AND(Review!$B$5="Needs review",$R171="Meets your target"),"",IF($R171="No fee entered",-1000000000000000+ROW(),$N171/$B171+ROW()/1000000000)))))</f>
        <v/>
      </c>
    </row>
    <row r="172" customFormat="false" ht="15" hidden="false" customHeight="false" outlineLevel="0" collapsed="false">
      <c r="A172" s="14"/>
      <c r="B172" s="15"/>
      <c r="C172" s="16"/>
      <c r="D172" s="14"/>
      <c r="E172" s="14"/>
      <c r="F172" s="14"/>
      <c r="G172" s="15"/>
      <c r="H172" s="15"/>
      <c r="I172" s="17" t="str">
        <f aca="false">IF(OR(AND($A172="",$B172="",$C172="",$D172="",$E172="",$F172="",$G172="",$H172=""),NOT($S172="")),"",ROUND($C172*($D172+$E172)/60,4))</f>
        <v/>
      </c>
      <c r="J172" s="18" t="str">
        <f aca="false">IF(OR(AND($A172="",$B172="",$C172="",$D172="",$E172="",$F172="",$G172="",$H172=""),NOT($S172="")),"",ROUND(ROUND($C172*($D172+$E172)/60*$B$5,9),2))</f>
        <v/>
      </c>
      <c r="K172" s="18" t="str">
        <f aca="false">IF(OR(AND($A172="",$B172="",$C172="",$D172="",$E172="",$F172="",$G172="",$H172=""),NOT($S172="")),"",ROUND(ROUND($C172*$F172*$B$6,9),2))</f>
        <v/>
      </c>
      <c r="L172" s="18" t="str">
        <f aca="false">IF(OR(AND($A172="",$B172="",$C172="",$D172="",$E172="",$F172="",$G172="",$H172=""),NOT($S172="")),"",ROUND(ROUND($C172*$G172,9),2))</f>
        <v/>
      </c>
      <c r="M172" s="19" t="str">
        <f aca="false">IF(OR(AND($A172="",$B172="",$C172="",$D172="",$E172="",$F172="",$G172="",$H172=""),NOT($S172="")),"",ROUND($J172+$K172+$L172+$H172,2))</f>
        <v/>
      </c>
      <c r="N172" s="19" t="str">
        <f aca="false">IF(OR(AND($A172="",$B172="",$C172="",$D172="",$E172="",$F172="",$G172="",$H172=""),NOT($S172="")),"",ROUND($B172-$M172,2))</f>
        <v/>
      </c>
      <c r="O172" s="20" t="str">
        <f aca="false">IF(OR(AND($A172="",$B172="",$C172="",$D172="",$E172="",$F172="",$G172="",$H172=""),NOT($S172="")),"",IF($B172=0,"n/a",INT(ROUND($N172/$B172*10000,6))/10000))</f>
        <v/>
      </c>
      <c r="P172" s="18" t="str">
        <f aca="false">IF(OR(AND($A172="",$B172="",$C172="",$D172="",$E172="",$F172="",$G172="",$H172=""),NOT($S172="")),"",ROUNDUP(ROUND($M172*10000/(10000-TargetH),9),2))</f>
        <v/>
      </c>
      <c r="Q172" s="18" t="str">
        <f aca="false">IF(OR(AND($A172="",$B172="",$C172="",$D172="",$E172="",$F172="",$G172="",$H172=""),NOT($S172="")),"",MAX(0,ROUND($P172-$B172,2)))</f>
        <v/>
      </c>
      <c r="R172" s="21" t="str">
        <f aca="false">IF(AND($A172="",$B172="",$C172="",$D172="",$E172="",$F172="",$G172="",$H172=""),"",IF(NOT($S172=""),"Check inputs",IF($B172=0,"No fee entered",IF($N172&lt;0,"Losing money on entered costs",IF(ROUND($N172*100,0)*10000&lt;TargetH*ROUND($B172*100,0),"Below your target","Meets your target")))))</f>
        <v/>
      </c>
      <c r="S172" s="22" t="str">
        <f aca="false">IF(AND($A172="",$B172="",$C172="",$D172="",$E172="",$F172="",$G172="",$H172=""),"",TRIM(IF($A172="","Customer/site label is missing. ","")&amp;IF($B172="","Monthly fee is missing. ",IF(NOT(ISNUMBER($B172)),"Monthly fee must be a number. ",IF($B172&lt;0,"Monthly fee can't be negative. ",IF(ROUND($B172,2)&lt;&gt;$B172,"Monthly fee: use up to 2 decimal places. ",IF($B172&gt;99999.99,"Monthly fee: use 99,999.99 or less. ","")))))&amp;IF($C172="","Visits per month is missing. ",IF(NOT(ISNUMBER($C172)),"Visits per month must be a number. ",IF($C172&lt;0,"Visits per month can't be negative. ",IF(ROUND($C172,3)&lt;&gt;$C172,"Visits per month: use up to 3 decimal places. ",IF($C172=0,"Visits per month must be more than 0. ",IF($C172&gt;31,"Visits per month: use 31 or less. ",""))))))&amp;IF($D172="","Service minutes per visit is missing. ",IF(NOT(ISNUMBER($D172)),"Service minutes per visit must be a number. ",IF($D172&lt;0,"Service minutes per visit can't be negative. ",IF(ROUND($D172,2)&lt;&gt;$D172,"Service minutes per visit: use up to 2 decimal places. ",IF($D172=0,"Service minutes per visit must be more than 0. ",IF($D172&gt;600,"Service minutes per visit: use 600 or less. ",""))))))&amp;IF($E172="","Drive minutes per visit is missing. ",IF(NOT(ISNUMBER($E172)),"Drive minutes per visit must be a number. ",IF($E172&lt;0,"Drive minutes per visit can't be negative. ",IF(ROUND($E172,2)&lt;&gt;$E172,"Drive minutes per visit: use up to 2 decimal places. ",IF($E172&gt;600,"Drive minutes per visit: use 600 or less. ","")))))&amp;IF($F172="","Drive miles per visit is missing. ",IF(NOT(ISNUMBER($F172)),"Drive miles per visit must be a number. ",IF($F172&lt;0,"Drive miles per visit can't be negative. ",IF(ROUND($F172,2)&lt;&gt;$F172,"Drive miles per visit: use up to 2 decimal places. ",IF($F172&gt;1000,"Drive miles per visit: use 1,000 or less. ","")))))&amp;IF($G172="","Chemicals per visit is missing. ",IF(NOT(ISNUMBER($G172)),"Chemicals per visit must be a number. ",IF($G172&lt;0,"Chemicals per visit can't be negative. ",IF(ROUND($G172,2)&lt;&gt;$G172,"Chemicals per visit: use up to 2 decimal places. ",IF($G172&gt;9999.99,"Chemicals per visit: use 9,999.99 or less. ","")))))&amp;IF($H172="","Other monthly costs is missing. ",IF(NOT(ISNUMBER($H172)),"Other monthly costs must be a number. ",IF($H172&lt;0,"Other monthly costs can't be negative. ",IF(ROUND($H172,2)&lt;&gt;$H172,"Other monthly costs: use up to 2 decimal places. ",IF($H172&gt;99999.99,"Other monthly costs: use 99,999.99 or less. ","")))))&amp;IF(SettingsOK,"","Settings incomplete.")))</f>
        <v/>
      </c>
      <c r="T172" s="23" t="str">
        <f aca="false">IF(AND($A172="",$B172="",$C172="",$D172="",$E172="",$F172="",$G172="",$H172=""),"",IF(Review!$B$5="Check inputs",IF($R172="Check inputs",ROW(),""),IF($R172="Check inputs",IF(Review!$B$5="All accounts",-2000000000000000+ROW(),""),IF(AND(Review!$B$5="Needs review",$R172="Meets your target"),"",IF($R172="No fee entered",-1000000000000000+ROW(),$N172/$B172+ROW()/1000000000)))))</f>
        <v/>
      </c>
    </row>
    <row r="173" customFormat="false" ht="15" hidden="false" customHeight="false" outlineLevel="0" collapsed="false">
      <c r="A173" s="14"/>
      <c r="B173" s="15"/>
      <c r="C173" s="16"/>
      <c r="D173" s="14"/>
      <c r="E173" s="14"/>
      <c r="F173" s="14"/>
      <c r="G173" s="15"/>
      <c r="H173" s="15"/>
      <c r="I173" s="17" t="str">
        <f aca="false">IF(OR(AND($A173="",$B173="",$C173="",$D173="",$E173="",$F173="",$G173="",$H173=""),NOT($S173="")),"",ROUND($C173*($D173+$E173)/60,4))</f>
        <v/>
      </c>
      <c r="J173" s="18" t="str">
        <f aca="false">IF(OR(AND($A173="",$B173="",$C173="",$D173="",$E173="",$F173="",$G173="",$H173=""),NOT($S173="")),"",ROUND(ROUND($C173*($D173+$E173)/60*$B$5,9),2))</f>
        <v/>
      </c>
      <c r="K173" s="18" t="str">
        <f aca="false">IF(OR(AND($A173="",$B173="",$C173="",$D173="",$E173="",$F173="",$G173="",$H173=""),NOT($S173="")),"",ROUND(ROUND($C173*$F173*$B$6,9),2))</f>
        <v/>
      </c>
      <c r="L173" s="18" t="str">
        <f aca="false">IF(OR(AND($A173="",$B173="",$C173="",$D173="",$E173="",$F173="",$G173="",$H173=""),NOT($S173="")),"",ROUND(ROUND($C173*$G173,9),2))</f>
        <v/>
      </c>
      <c r="M173" s="19" t="str">
        <f aca="false">IF(OR(AND($A173="",$B173="",$C173="",$D173="",$E173="",$F173="",$G173="",$H173=""),NOT($S173="")),"",ROUND($J173+$K173+$L173+$H173,2))</f>
        <v/>
      </c>
      <c r="N173" s="19" t="str">
        <f aca="false">IF(OR(AND($A173="",$B173="",$C173="",$D173="",$E173="",$F173="",$G173="",$H173=""),NOT($S173="")),"",ROUND($B173-$M173,2))</f>
        <v/>
      </c>
      <c r="O173" s="20" t="str">
        <f aca="false">IF(OR(AND($A173="",$B173="",$C173="",$D173="",$E173="",$F173="",$G173="",$H173=""),NOT($S173="")),"",IF($B173=0,"n/a",INT(ROUND($N173/$B173*10000,6))/10000))</f>
        <v/>
      </c>
      <c r="P173" s="18" t="str">
        <f aca="false">IF(OR(AND($A173="",$B173="",$C173="",$D173="",$E173="",$F173="",$G173="",$H173=""),NOT($S173="")),"",ROUNDUP(ROUND($M173*10000/(10000-TargetH),9),2))</f>
        <v/>
      </c>
      <c r="Q173" s="18" t="str">
        <f aca="false">IF(OR(AND($A173="",$B173="",$C173="",$D173="",$E173="",$F173="",$G173="",$H173=""),NOT($S173="")),"",MAX(0,ROUND($P173-$B173,2)))</f>
        <v/>
      </c>
      <c r="R173" s="21" t="str">
        <f aca="false">IF(AND($A173="",$B173="",$C173="",$D173="",$E173="",$F173="",$G173="",$H173=""),"",IF(NOT($S173=""),"Check inputs",IF($B173=0,"No fee entered",IF($N173&lt;0,"Losing money on entered costs",IF(ROUND($N173*100,0)*10000&lt;TargetH*ROUND($B173*100,0),"Below your target","Meets your target")))))</f>
        <v/>
      </c>
      <c r="S173" s="22" t="str">
        <f aca="false">IF(AND($A173="",$B173="",$C173="",$D173="",$E173="",$F173="",$G173="",$H173=""),"",TRIM(IF($A173="","Customer/site label is missing. ","")&amp;IF($B173="","Monthly fee is missing. ",IF(NOT(ISNUMBER($B173)),"Monthly fee must be a number. ",IF($B173&lt;0,"Monthly fee can't be negative. ",IF(ROUND($B173,2)&lt;&gt;$B173,"Monthly fee: use up to 2 decimal places. ",IF($B173&gt;99999.99,"Monthly fee: use 99,999.99 or less. ","")))))&amp;IF($C173="","Visits per month is missing. ",IF(NOT(ISNUMBER($C173)),"Visits per month must be a number. ",IF($C173&lt;0,"Visits per month can't be negative. ",IF(ROUND($C173,3)&lt;&gt;$C173,"Visits per month: use up to 3 decimal places. ",IF($C173=0,"Visits per month must be more than 0. ",IF($C173&gt;31,"Visits per month: use 31 or less. ",""))))))&amp;IF($D173="","Service minutes per visit is missing. ",IF(NOT(ISNUMBER($D173)),"Service minutes per visit must be a number. ",IF($D173&lt;0,"Service minutes per visit can't be negative. ",IF(ROUND($D173,2)&lt;&gt;$D173,"Service minutes per visit: use up to 2 decimal places. ",IF($D173=0,"Service minutes per visit must be more than 0. ",IF($D173&gt;600,"Service minutes per visit: use 600 or less. ",""))))))&amp;IF($E173="","Drive minutes per visit is missing. ",IF(NOT(ISNUMBER($E173)),"Drive minutes per visit must be a number. ",IF($E173&lt;0,"Drive minutes per visit can't be negative. ",IF(ROUND($E173,2)&lt;&gt;$E173,"Drive minutes per visit: use up to 2 decimal places. ",IF($E173&gt;600,"Drive minutes per visit: use 600 or less. ","")))))&amp;IF($F173="","Drive miles per visit is missing. ",IF(NOT(ISNUMBER($F173)),"Drive miles per visit must be a number. ",IF($F173&lt;0,"Drive miles per visit can't be negative. ",IF(ROUND($F173,2)&lt;&gt;$F173,"Drive miles per visit: use up to 2 decimal places. ",IF($F173&gt;1000,"Drive miles per visit: use 1,000 or less. ","")))))&amp;IF($G173="","Chemicals per visit is missing. ",IF(NOT(ISNUMBER($G173)),"Chemicals per visit must be a number. ",IF($G173&lt;0,"Chemicals per visit can't be negative. ",IF(ROUND($G173,2)&lt;&gt;$G173,"Chemicals per visit: use up to 2 decimal places. ",IF($G173&gt;9999.99,"Chemicals per visit: use 9,999.99 or less. ","")))))&amp;IF($H173="","Other monthly costs is missing. ",IF(NOT(ISNUMBER($H173)),"Other monthly costs must be a number. ",IF($H173&lt;0,"Other monthly costs can't be negative. ",IF(ROUND($H173,2)&lt;&gt;$H173,"Other monthly costs: use up to 2 decimal places. ",IF($H173&gt;99999.99,"Other monthly costs: use 99,999.99 or less. ","")))))&amp;IF(SettingsOK,"","Settings incomplete.")))</f>
        <v/>
      </c>
      <c r="T173" s="23" t="str">
        <f aca="false">IF(AND($A173="",$B173="",$C173="",$D173="",$E173="",$F173="",$G173="",$H173=""),"",IF(Review!$B$5="Check inputs",IF($R173="Check inputs",ROW(),""),IF($R173="Check inputs",IF(Review!$B$5="All accounts",-2000000000000000+ROW(),""),IF(AND(Review!$B$5="Needs review",$R173="Meets your target"),"",IF($R173="No fee entered",-1000000000000000+ROW(),$N173/$B173+ROW()/1000000000)))))</f>
        <v/>
      </c>
    </row>
    <row r="174" customFormat="false" ht="15" hidden="false" customHeight="false" outlineLevel="0" collapsed="false">
      <c r="A174" s="14"/>
      <c r="B174" s="15"/>
      <c r="C174" s="16"/>
      <c r="D174" s="14"/>
      <c r="E174" s="14"/>
      <c r="F174" s="14"/>
      <c r="G174" s="15"/>
      <c r="H174" s="15"/>
      <c r="I174" s="17" t="str">
        <f aca="false">IF(OR(AND($A174="",$B174="",$C174="",$D174="",$E174="",$F174="",$G174="",$H174=""),NOT($S174="")),"",ROUND($C174*($D174+$E174)/60,4))</f>
        <v/>
      </c>
      <c r="J174" s="18" t="str">
        <f aca="false">IF(OR(AND($A174="",$B174="",$C174="",$D174="",$E174="",$F174="",$G174="",$H174=""),NOT($S174="")),"",ROUND(ROUND($C174*($D174+$E174)/60*$B$5,9),2))</f>
        <v/>
      </c>
      <c r="K174" s="18" t="str">
        <f aca="false">IF(OR(AND($A174="",$B174="",$C174="",$D174="",$E174="",$F174="",$G174="",$H174=""),NOT($S174="")),"",ROUND(ROUND($C174*$F174*$B$6,9),2))</f>
        <v/>
      </c>
      <c r="L174" s="18" t="str">
        <f aca="false">IF(OR(AND($A174="",$B174="",$C174="",$D174="",$E174="",$F174="",$G174="",$H174=""),NOT($S174="")),"",ROUND(ROUND($C174*$G174,9),2))</f>
        <v/>
      </c>
      <c r="M174" s="19" t="str">
        <f aca="false">IF(OR(AND($A174="",$B174="",$C174="",$D174="",$E174="",$F174="",$G174="",$H174=""),NOT($S174="")),"",ROUND($J174+$K174+$L174+$H174,2))</f>
        <v/>
      </c>
      <c r="N174" s="19" t="str">
        <f aca="false">IF(OR(AND($A174="",$B174="",$C174="",$D174="",$E174="",$F174="",$G174="",$H174=""),NOT($S174="")),"",ROUND($B174-$M174,2))</f>
        <v/>
      </c>
      <c r="O174" s="20" t="str">
        <f aca="false">IF(OR(AND($A174="",$B174="",$C174="",$D174="",$E174="",$F174="",$G174="",$H174=""),NOT($S174="")),"",IF($B174=0,"n/a",INT(ROUND($N174/$B174*10000,6))/10000))</f>
        <v/>
      </c>
      <c r="P174" s="18" t="str">
        <f aca="false">IF(OR(AND($A174="",$B174="",$C174="",$D174="",$E174="",$F174="",$G174="",$H174=""),NOT($S174="")),"",ROUNDUP(ROUND($M174*10000/(10000-TargetH),9),2))</f>
        <v/>
      </c>
      <c r="Q174" s="18" t="str">
        <f aca="false">IF(OR(AND($A174="",$B174="",$C174="",$D174="",$E174="",$F174="",$G174="",$H174=""),NOT($S174="")),"",MAX(0,ROUND($P174-$B174,2)))</f>
        <v/>
      </c>
      <c r="R174" s="21" t="str">
        <f aca="false">IF(AND($A174="",$B174="",$C174="",$D174="",$E174="",$F174="",$G174="",$H174=""),"",IF(NOT($S174=""),"Check inputs",IF($B174=0,"No fee entered",IF($N174&lt;0,"Losing money on entered costs",IF(ROUND($N174*100,0)*10000&lt;TargetH*ROUND($B174*100,0),"Below your target","Meets your target")))))</f>
        <v/>
      </c>
      <c r="S174" s="22" t="str">
        <f aca="false">IF(AND($A174="",$B174="",$C174="",$D174="",$E174="",$F174="",$G174="",$H174=""),"",TRIM(IF($A174="","Customer/site label is missing. ","")&amp;IF($B174="","Monthly fee is missing. ",IF(NOT(ISNUMBER($B174)),"Monthly fee must be a number. ",IF($B174&lt;0,"Monthly fee can't be negative. ",IF(ROUND($B174,2)&lt;&gt;$B174,"Monthly fee: use up to 2 decimal places. ",IF($B174&gt;99999.99,"Monthly fee: use 99,999.99 or less. ","")))))&amp;IF($C174="","Visits per month is missing. ",IF(NOT(ISNUMBER($C174)),"Visits per month must be a number. ",IF($C174&lt;0,"Visits per month can't be negative. ",IF(ROUND($C174,3)&lt;&gt;$C174,"Visits per month: use up to 3 decimal places. ",IF($C174=0,"Visits per month must be more than 0. ",IF($C174&gt;31,"Visits per month: use 31 or less. ",""))))))&amp;IF($D174="","Service minutes per visit is missing. ",IF(NOT(ISNUMBER($D174)),"Service minutes per visit must be a number. ",IF($D174&lt;0,"Service minutes per visit can't be negative. ",IF(ROUND($D174,2)&lt;&gt;$D174,"Service minutes per visit: use up to 2 decimal places. ",IF($D174=0,"Service minutes per visit must be more than 0. ",IF($D174&gt;600,"Service minutes per visit: use 600 or less. ",""))))))&amp;IF($E174="","Drive minutes per visit is missing. ",IF(NOT(ISNUMBER($E174)),"Drive minutes per visit must be a number. ",IF($E174&lt;0,"Drive minutes per visit can't be negative. ",IF(ROUND($E174,2)&lt;&gt;$E174,"Drive minutes per visit: use up to 2 decimal places. ",IF($E174&gt;600,"Drive minutes per visit: use 600 or less. ","")))))&amp;IF($F174="","Drive miles per visit is missing. ",IF(NOT(ISNUMBER($F174)),"Drive miles per visit must be a number. ",IF($F174&lt;0,"Drive miles per visit can't be negative. ",IF(ROUND($F174,2)&lt;&gt;$F174,"Drive miles per visit: use up to 2 decimal places. ",IF($F174&gt;1000,"Drive miles per visit: use 1,000 or less. ","")))))&amp;IF($G174="","Chemicals per visit is missing. ",IF(NOT(ISNUMBER($G174)),"Chemicals per visit must be a number. ",IF($G174&lt;0,"Chemicals per visit can't be negative. ",IF(ROUND($G174,2)&lt;&gt;$G174,"Chemicals per visit: use up to 2 decimal places. ",IF($G174&gt;9999.99,"Chemicals per visit: use 9,999.99 or less. ","")))))&amp;IF($H174="","Other monthly costs is missing. ",IF(NOT(ISNUMBER($H174)),"Other monthly costs must be a number. ",IF($H174&lt;0,"Other monthly costs can't be negative. ",IF(ROUND($H174,2)&lt;&gt;$H174,"Other monthly costs: use up to 2 decimal places. ",IF($H174&gt;99999.99,"Other monthly costs: use 99,999.99 or less. ","")))))&amp;IF(SettingsOK,"","Settings incomplete.")))</f>
        <v/>
      </c>
      <c r="T174" s="23" t="str">
        <f aca="false">IF(AND($A174="",$B174="",$C174="",$D174="",$E174="",$F174="",$G174="",$H174=""),"",IF(Review!$B$5="Check inputs",IF($R174="Check inputs",ROW(),""),IF($R174="Check inputs",IF(Review!$B$5="All accounts",-2000000000000000+ROW(),""),IF(AND(Review!$B$5="Needs review",$R174="Meets your target"),"",IF($R174="No fee entered",-1000000000000000+ROW(),$N174/$B174+ROW()/1000000000)))))</f>
        <v/>
      </c>
    </row>
    <row r="175" customFormat="false" ht="15" hidden="false" customHeight="false" outlineLevel="0" collapsed="false">
      <c r="A175" s="14"/>
      <c r="B175" s="15"/>
      <c r="C175" s="16"/>
      <c r="D175" s="14"/>
      <c r="E175" s="14"/>
      <c r="F175" s="14"/>
      <c r="G175" s="15"/>
      <c r="H175" s="15"/>
      <c r="I175" s="17" t="str">
        <f aca="false">IF(OR(AND($A175="",$B175="",$C175="",$D175="",$E175="",$F175="",$G175="",$H175=""),NOT($S175="")),"",ROUND($C175*($D175+$E175)/60,4))</f>
        <v/>
      </c>
      <c r="J175" s="18" t="str">
        <f aca="false">IF(OR(AND($A175="",$B175="",$C175="",$D175="",$E175="",$F175="",$G175="",$H175=""),NOT($S175="")),"",ROUND(ROUND($C175*($D175+$E175)/60*$B$5,9),2))</f>
        <v/>
      </c>
      <c r="K175" s="18" t="str">
        <f aca="false">IF(OR(AND($A175="",$B175="",$C175="",$D175="",$E175="",$F175="",$G175="",$H175=""),NOT($S175="")),"",ROUND(ROUND($C175*$F175*$B$6,9),2))</f>
        <v/>
      </c>
      <c r="L175" s="18" t="str">
        <f aca="false">IF(OR(AND($A175="",$B175="",$C175="",$D175="",$E175="",$F175="",$G175="",$H175=""),NOT($S175="")),"",ROUND(ROUND($C175*$G175,9),2))</f>
        <v/>
      </c>
      <c r="M175" s="19" t="str">
        <f aca="false">IF(OR(AND($A175="",$B175="",$C175="",$D175="",$E175="",$F175="",$G175="",$H175=""),NOT($S175="")),"",ROUND($J175+$K175+$L175+$H175,2))</f>
        <v/>
      </c>
      <c r="N175" s="19" t="str">
        <f aca="false">IF(OR(AND($A175="",$B175="",$C175="",$D175="",$E175="",$F175="",$G175="",$H175=""),NOT($S175="")),"",ROUND($B175-$M175,2))</f>
        <v/>
      </c>
      <c r="O175" s="20" t="str">
        <f aca="false">IF(OR(AND($A175="",$B175="",$C175="",$D175="",$E175="",$F175="",$G175="",$H175=""),NOT($S175="")),"",IF($B175=0,"n/a",INT(ROUND($N175/$B175*10000,6))/10000))</f>
        <v/>
      </c>
      <c r="P175" s="18" t="str">
        <f aca="false">IF(OR(AND($A175="",$B175="",$C175="",$D175="",$E175="",$F175="",$G175="",$H175=""),NOT($S175="")),"",ROUNDUP(ROUND($M175*10000/(10000-TargetH),9),2))</f>
        <v/>
      </c>
      <c r="Q175" s="18" t="str">
        <f aca="false">IF(OR(AND($A175="",$B175="",$C175="",$D175="",$E175="",$F175="",$G175="",$H175=""),NOT($S175="")),"",MAX(0,ROUND($P175-$B175,2)))</f>
        <v/>
      </c>
      <c r="R175" s="21" t="str">
        <f aca="false">IF(AND($A175="",$B175="",$C175="",$D175="",$E175="",$F175="",$G175="",$H175=""),"",IF(NOT($S175=""),"Check inputs",IF($B175=0,"No fee entered",IF($N175&lt;0,"Losing money on entered costs",IF(ROUND($N175*100,0)*10000&lt;TargetH*ROUND($B175*100,0),"Below your target","Meets your target")))))</f>
        <v/>
      </c>
      <c r="S175" s="22" t="str">
        <f aca="false">IF(AND($A175="",$B175="",$C175="",$D175="",$E175="",$F175="",$G175="",$H175=""),"",TRIM(IF($A175="","Customer/site label is missing. ","")&amp;IF($B175="","Monthly fee is missing. ",IF(NOT(ISNUMBER($B175)),"Monthly fee must be a number. ",IF($B175&lt;0,"Monthly fee can't be negative. ",IF(ROUND($B175,2)&lt;&gt;$B175,"Monthly fee: use up to 2 decimal places. ",IF($B175&gt;99999.99,"Monthly fee: use 99,999.99 or less. ","")))))&amp;IF($C175="","Visits per month is missing. ",IF(NOT(ISNUMBER($C175)),"Visits per month must be a number. ",IF($C175&lt;0,"Visits per month can't be negative. ",IF(ROUND($C175,3)&lt;&gt;$C175,"Visits per month: use up to 3 decimal places. ",IF($C175=0,"Visits per month must be more than 0. ",IF($C175&gt;31,"Visits per month: use 31 or less. ",""))))))&amp;IF($D175="","Service minutes per visit is missing. ",IF(NOT(ISNUMBER($D175)),"Service minutes per visit must be a number. ",IF($D175&lt;0,"Service minutes per visit can't be negative. ",IF(ROUND($D175,2)&lt;&gt;$D175,"Service minutes per visit: use up to 2 decimal places. ",IF($D175=0,"Service minutes per visit must be more than 0. ",IF($D175&gt;600,"Service minutes per visit: use 600 or less. ",""))))))&amp;IF($E175="","Drive minutes per visit is missing. ",IF(NOT(ISNUMBER($E175)),"Drive minutes per visit must be a number. ",IF($E175&lt;0,"Drive minutes per visit can't be negative. ",IF(ROUND($E175,2)&lt;&gt;$E175,"Drive minutes per visit: use up to 2 decimal places. ",IF($E175&gt;600,"Drive minutes per visit: use 600 or less. ","")))))&amp;IF($F175="","Drive miles per visit is missing. ",IF(NOT(ISNUMBER($F175)),"Drive miles per visit must be a number. ",IF($F175&lt;0,"Drive miles per visit can't be negative. ",IF(ROUND($F175,2)&lt;&gt;$F175,"Drive miles per visit: use up to 2 decimal places. ",IF($F175&gt;1000,"Drive miles per visit: use 1,000 or less. ","")))))&amp;IF($G175="","Chemicals per visit is missing. ",IF(NOT(ISNUMBER($G175)),"Chemicals per visit must be a number. ",IF($G175&lt;0,"Chemicals per visit can't be negative. ",IF(ROUND($G175,2)&lt;&gt;$G175,"Chemicals per visit: use up to 2 decimal places. ",IF($G175&gt;9999.99,"Chemicals per visit: use 9,999.99 or less. ","")))))&amp;IF($H175="","Other monthly costs is missing. ",IF(NOT(ISNUMBER($H175)),"Other monthly costs must be a number. ",IF($H175&lt;0,"Other monthly costs can't be negative. ",IF(ROUND($H175,2)&lt;&gt;$H175,"Other monthly costs: use up to 2 decimal places. ",IF($H175&gt;99999.99,"Other monthly costs: use 99,999.99 or less. ","")))))&amp;IF(SettingsOK,"","Settings incomplete.")))</f>
        <v/>
      </c>
      <c r="T175" s="23" t="str">
        <f aca="false">IF(AND($A175="",$B175="",$C175="",$D175="",$E175="",$F175="",$G175="",$H175=""),"",IF(Review!$B$5="Check inputs",IF($R175="Check inputs",ROW(),""),IF($R175="Check inputs",IF(Review!$B$5="All accounts",-2000000000000000+ROW(),""),IF(AND(Review!$B$5="Needs review",$R175="Meets your target"),"",IF($R175="No fee entered",-1000000000000000+ROW(),$N175/$B175+ROW()/1000000000)))))</f>
        <v/>
      </c>
    </row>
    <row r="176" customFormat="false" ht="15" hidden="false" customHeight="false" outlineLevel="0" collapsed="false">
      <c r="A176" s="14"/>
      <c r="B176" s="15"/>
      <c r="C176" s="16"/>
      <c r="D176" s="14"/>
      <c r="E176" s="14"/>
      <c r="F176" s="14"/>
      <c r="G176" s="15"/>
      <c r="H176" s="15"/>
      <c r="I176" s="17" t="str">
        <f aca="false">IF(OR(AND($A176="",$B176="",$C176="",$D176="",$E176="",$F176="",$G176="",$H176=""),NOT($S176="")),"",ROUND($C176*($D176+$E176)/60,4))</f>
        <v/>
      </c>
      <c r="J176" s="18" t="str">
        <f aca="false">IF(OR(AND($A176="",$B176="",$C176="",$D176="",$E176="",$F176="",$G176="",$H176=""),NOT($S176="")),"",ROUND(ROUND($C176*($D176+$E176)/60*$B$5,9),2))</f>
        <v/>
      </c>
      <c r="K176" s="18" t="str">
        <f aca="false">IF(OR(AND($A176="",$B176="",$C176="",$D176="",$E176="",$F176="",$G176="",$H176=""),NOT($S176="")),"",ROUND(ROUND($C176*$F176*$B$6,9),2))</f>
        <v/>
      </c>
      <c r="L176" s="18" t="str">
        <f aca="false">IF(OR(AND($A176="",$B176="",$C176="",$D176="",$E176="",$F176="",$G176="",$H176=""),NOT($S176="")),"",ROUND(ROUND($C176*$G176,9),2))</f>
        <v/>
      </c>
      <c r="M176" s="19" t="str">
        <f aca="false">IF(OR(AND($A176="",$B176="",$C176="",$D176="",$E176="",$F176="",$G176="",$H176=""),NOT($S176="")),"",ROUND($J176+$K176+$L176+$H176,2))</f>
        <v/>
      </c>
      <c r="N176" s="19" t="str">
        <f aca="false">IF(OR(AND($A176="",$B176="",$C176="",$D176="",$E176="",$F176="",$G176="",$H176=""),NOT($S176="")),"",ROUND($B176-$M176,2))</f>
        <v/>
      </c>
      <c r="O176" s="20" t="str">
        <f aca="false">IF(OR(AND($A176="",$B176="",$C176="",$D176="",$E176="",$F176="",$G176="",$H176=""),NOT($S176="")),"",IF($B176=0,"n/a",INT(ROUND($N176/$B176*10000,6))/10000))</f>
        <v/>
      </c>
      <c r="P176" s="18" t="str">
        <f aca="false">IF(OR(AND($A176="",$B176="",$C176="",$D176="",$E176="",$F176="",$G176="",$H176=""),NOT($S176="")),"",ROUNDUP(ROUND($M176*10000/(10000-TargetH),9),2))</f>
        <v/>
      </c>
      <c r="Q176" s="18" t="str">
        <f aca="false">IF(OR(AND($A176="",$B176="",$C176="",$D176="",$E176="",$F176="",$G176="",$H176=""),NOT($S176="")),"",MAX(0,ROUND($P176-$B176,2)))</f>
        <v/>
      </c>
      <c r="R176" s="21" t="str">
        <f aca="false">IF(AND($A176="",$B176="",$C176="",$D176="",$E176="",$F176="",$G176="",$H176=""),"",IF(NOT($S176=""),"Check inputs",IF($B176=0,"No fee entered",IF($N176&lt;0,"Losing money on entered costs",IF(ROUND($N176*100,0)*10000&lt;TargetH*ROUND($B176*100,0),"Below your target","Meets your target")))))</f>
        <v/>
      </c>
      <c r="S176" s="22" t="str">
        <f aca="false">IF(AND($A176="",$B176="",$C176="",$D176="",$E176="",$F176="",$G176="",$H176=""),"",TRIM(IF($A176="","Customer/site label is missing. ","")&amp;IF($B176="","Monthly fee is missing. ",IF(NOT(ISNUMBER($B176)),"Monthly fee must be a number. ",IF($B176&lt;0,"Monthly fee can't be negative. ",IF(ROUND($B176,2)&lt;&gt;$B176,"Monthly fee: use up to 2 decimal places. ",IF($B176&gt;99999.99,"Monthly fee: use 99,999.99 or less. ","")))))&amp;IF($C176="","Visits per month is missing. ",IF(NOT(ISNUMBER($C176)),"Visits per month must be a number. ",IF($C176&lt;0,"Visits per month can't be negative. ",IF(ROUND($C176,3)&lt;&gt;$C176,"Visits per month: use up to 3 decimal places. ",IF($C176=0,"Visits per month must be more than 0. ",IF($C176&gt;31,"Visits per month: use 31 or less. ",""))))))&amp;IF($D176="","Service minutes per visit is missing. ",IF(NOT(ISNUMBER($D176)),"Service minutes per visit must be a number. ",IF($D176&lt;0,"Service minutes per visit can't be negative. ",IF(ROUND($D176,2)&lt;&gt;$D176,"Service minutes per visit: use up to 2 decimal places. ",IF($D176=0,"Service minutes per visit must be more than 0. ",IF($D176&gt;600,"Service minutes per visit: use 600 or less. ",""))))))&amp;IF($E176="","Drive minutes per visit is missing. ",IF(NOT(ISNUMBER($E176)),"Drive minutes per visit must be a number. ",IF($E176&lt;0,"Drive minutes per visit can't be negative. ",IF(ROUND($E176,2)&lt;&gt;$E176,"Drive minutes per visit: use up to 2 decimal places. ",IF($E176&gt;600,"Drive minutes per visit: use 600 or less. ","")))))&amp;IF($F176="","Drive miles per visit is missing. ",IF(NOT(ISNUMBER($F176)),"Drive miles per visit must be a number. ",IF($F176&lt;0,"Drive miles per visit can't be negative. ",IF(ROUND($F176,2)&lt;&gt;$F176,"Drive miles per visit: use up to 2 decimal places. ",IF($F176&gt;1000,"Drive miles per visit: use 1,000 or less. ","")))))&amp;IF($G176="","Chemicals per visit is missing. ",IF(NOT(ISNUMBER($G176)),"Chemicals per visit must be a number. ",IF($G176&lt;0,"Chemicals per visit can't be negative. ",IF(ROUND($G176,2)&lt;&gt;$G176,"Chemicals per visit: use up to 2 decimal places. ",IF($G176&gt;9999.99,"Chemicals per visit: use 9,999.99 or less. ","")))))&amp;IF($H176="","Other monthly costs is missing. ",IF(NOT(ISNUMBER($H176)),"Other monthly costs must be a number. ",IF($H176&lt;0,"Other monthly costs can't be negative. ",IF(ROUND($H176,2)&lt;&gt;$H176,"Other monthly costs: use up to 2 decimal places. ",IF($H176&gt;99999.99,"Other monthly costs: use 99,999.99 or less. ","")))))&amp;IF(SettingsOK,"","Settings incomplete.")))</f>
        <v/>
      </c>
      <c r="T176" s="23" t="str">
        <f aca="false">IF(AND($A176="",$B176="",$C176="",$D176="",$E176="",$F176="",$G176="",$H176=""),"",IF(Review!$B$5="Check inputs",IF($R176="Check inputs",ROW(),""),IF($R176="Check inputs",IF(Review!$B$5="All accounts",-2000000000000000+ROW(),""),IF(AND(Review!$B$5="Needs review",$R176="Meets your target"),"",IF($R176="No fee entered",-1000000000000000+ROW(),$N176/$B176+ROW()/1000000000)))))</f>
        <v/>
      </c>
    </row>
    <row r="177" customFormat="false" ht="15" hidden="false" customHeight="false" outlineLevel="0" collapsed="false">
      <c r="A177" s="14"/>
      <c r="B177" s="15"/>
      <c r="C177" s="16"/>
      <c r="D177" s="14"/>
      <c r="E177" s="14"/>
      <c r="F177" s="14"/>
      <c r="G177" s="15"/>
      <c r="H177" s="15"/>
      <c r="I177" s="17" t="str">
        <f aca="false">IF(OR(AND($A177="",$B177="",$C177="",$D177="",$E177="",$F177="",$G177="",$H177=""),NOT($S177="")),"",ROUND($C177*($D177+$E177)/60,4))</f>
        <v/>
      </c>
      <c r="J177" s="18" t="str">
        <f aca="false">IF(OR(AND($A177="",$B177="",$C177="",$D177="",$E177="",$F177="",$G177="",$H177=""),NOT($S177="")),"",ROUND(ROUND($C177*($D177+$E177)/60*$B$5,9),2))</f>
        <v/>
      </c>
      <c r="K177" s="18" t="str">
        <f aca="false">IF(OR(AND($A177="",$B177="",$C177="",$D177="",$E177="",$F177="",$G177="",$H177=""),NOT($S177="")),"",ROUND(ROUND($C177*$F177*$B$6,9),2))</f>
        <v/>
      </c>
      <c r="L177" s="18" t="str">
        <f aca="false">IF(OR(AND($A177="",$B177="",$C177="",$D177="",$E177="",$F177="",$G177="",$H177=""),NOT($S177="")),"",ROUND(ROUND($C177*$G177,9),2))</f>
        <v/>
      </c>
      <c r="M177" s="19" t="str">
        <f aca="false">IF(OR(AND($A177="",$B177="",$C177="",$D177="",$E177="",$F177="",$G177="",$H177=""),NOT($S177="")),"",ROUND($J177+$K177+$L177+$H177,2))</f>
        <v/>
      </c>
      <c r="N177" s="19" t="str">
        <f aca="false">IF(OR(AND($A177="",$B177="",$C177="",$D177="",$E177="",$F177="",$G177="",$H177=""),NOT($S177="")),"",ROUND($B177-$M177,2))</f>
        <v/>
      </c>
      <c r="O177" s="20" t="str">
        <f aca="false">IF(OR(AND($A177="",$B177="",$C177="",$D177="",$E177="",$F177="",$G177="",$H177=""),NOT($S177="")),"",IF($B177=0,"n/a",INT(ROUND($N177/$B177*10000,6))/10000))</f>
        <v/>
      </c>
      <c r="P177" s="18" t="str">
        <f aca="false">IF(OR(AND($A177="",$B177="",$C177="",$D177="",$E177="",$F177="",$G177="",$H177=""),NOT($S177="")),"",ROUNDUP(ROUND($M177*10000/(10000-TargetH),9),2))</f>
        <v/>
      </c>
      <c r="Q177" s="18" t="str">
        <f aca="false">IF(OR(AND($A177="",$B177="",$C177="",$D177="",$E177="",$F177="",$G177="",$H177=""),NOT($S177="")),"",MAX(0,ROUND($P177-$B177,2)))</f>
        <v/>
      </c>
      <c r="R177" s="21" t="str">
        <f aca="false">IF(AND($A177="",$B177="",$C177="",$D177="",$E177="",$F177="",$G177="",$H177=""),"",IF(NOT($S177=""),"Check inputs",IF($B177=0,"No fee entered",IF($N177&lt;0,"Losing money on entered costs",IF(ROUND($N177*100,0)*10000&lt;TargetH*ROUND($B177*100,0),"Below your target","Meets your target")))))</f>
        <v/>
      </c>
      <c r="S177" s="22" t="str">
        <f aca="false">IF(AND($A177="",$B177="",$C177="",$D177="",$E177="",$F177="",$G177="",$H177=""),"",TRIM(IF($A177="","Customer/site label is missing. ","")&amp;IF($B177="","Monthly fee is missing. ",IF(NOT(ISNUMBER($B177)),"Monthly fee must be a number. ",IF($B177&lt;0,"Monthly fee can't be negative. ",IF(ROUND($B177,2)&lt;&gt;$B177,"Monthly fee: use up to 2 decimal places. ",IF($B177&gt;99999.99,"Monthly fee: use 99,999.99 or less. ","")))))&amp;IF($C177="","Visits per month is missing. ",IF(NOT(ISNUMBER($C177)),"Visits per month must be a number. ",IF($C177&lt;0,"Visits per month can't be negative. ",IF(ROUND($C177,3)&lt;&gt;$C177,"Visits per month: use up to 3 decimal places. ",IF($C177=0,"Visits per month must be more than 0. ",IF($C177&gt;31,"Visits per month: use 31 or less. ",""))))))&amp;IF($D177="","Service minutes per visit is missing. ",IF(NOT(ISNUMBER($D177)),"Service minutes per visit must be a number. ",IF($D177&lt;0,"Service minutes per visit can't be negative. ",IF(ROUND($D177,2)&lt;&gt;$D177,"Service minutes per visit: use up to 2 decimal places. ",IF($D177=0,"Service minutes per visit must be more than 0. ",IF($D177&gt;600,"Service minutes per visit: use 600 or less. ",""))))))&amp;IF($E177="","Drive minutes per visit is missing. ",IF(NOT(ISNUMBER($E177)),"Drive minutes per visit must be a number. ",IF($E177&lt;0,"Drive minutes per visit can't be negative. ",IF(ROUND($E177,2)&lt;&gt;$E177,"Drive minutes per visit: use up to 2 decimal places. ",IF($E177&gt;600,"Drive minutes per visit: use 600 or less. ","")))))&amp;IF($F177="","Drive miles per visit is missing. ",IF(NOT(ISNUMBER($F177)),"Drive miles per visit must be a number. ",IF($F177&lt;0,"Drive miles per visit can't be negative. ",IF(ROUND($F177,2)&lt;&gt;$F177,"Drive miles per visit: use up to 2 decimal places. ",IF($F177&gt;1000,"Drive miles per visit: use 1,000 or less. ","")))))&amp;IF($G177="","Chemicals per visit is missing. ",IF(NOT(ISNUMBER($G177)),"Chemicals per visit must be a number. ",IF($G177&lt;0,"Chemicals per visit can't be negative. ",IF(ROUND($G177,2)&lt;&gt;$G177,"Chemicals per visit: use up to 2 decimal places. ",IF($G177&gt;9999.99,"Chemicals per visit: use 9,999.99 or less. ","")))))&amp;IF($H177="","Other monthly costs is missing. ",IF(NOT(ISNUMBER($H177)),"Other monthly costs must be a number. ",IF($H177&lt;0,"Other monthly costs can't be negative. ",IF(ROUND($H177,2)&lt;&gt;$H177,"Other monthly costs: use up to 2 decimal places. ",IF($H177&gt;99999.99,"Other monthly costs: use 99,999.99 or less. ","")))))&amp;IF(SettingsOK,"","Settings incomplete.")))</f>
        <v/>
      </c>
      <c r="T177" s="23" t="str">
        <f aca="false">IF(AND($A177="",$B177="",$C177="",$D177="",$E177="",$F177="",$G177="",$H177=""),"",IF(Review!$B$5="Check inputs",IF($R177="Check inputs",ROW(),""),IF($R177="Check inputs",IF(Review!$B$5="All accounts",-2000000000000000+ROW(),""),IF(AND(Review!$B$5="Needs review",$R177="Meets your target"),"",IF($R177="No fee entered",-1000000000000000+ROW(),$N177/$B177+ROW()/1000000000)))))</f>
        <v/>
      </c>
    </row>
    <row r="178" customFormat="false" ht="15" hidden="false" customHeight="false" outlineLevel="0" collapsed="false">
      <c r="A178" s="14"/>
      <c r="B178" s="15"/>
      <c r="C178" s="16"/>
      <c r="D178" s="14"/>
      <c r="E178" s="14"/>
      <c r="F178" s="14"/>
      <c r="G178" s="15"/>
      <c r="H178" s="15"/>
      <c r="I178" s="17" t="str">
        <f aca="false">IF(OR(AND($A178="",$B178="",$C178="",$D178="",$E178="",$F178="",$G178="",$H178=""),NOT($S178="")),"",ROUND($C178*($D178+$E178)/60,4))</f>
        <v/>
      </c>
      <c r="J178" s="18" t="str">
        <f aca="false">IF(OR(AND($A178="",$B178="",$C178="",$D178="",$E178="",$F178="",$G178="",$H178=""),NOT($S178="")),"",ROUND(ROUND($C178*($D178+$E178)/60*$B$5,9),2))</f>
        <v/>
      </c>
      <c r="K178" s="18" t="str">
        <f aca="false">IF(OR(AND($A178="",$B178="",$C178="",$D178="",$E178="",$F178="",$G178="",$H178=""),NOT($S178="")),"",ROUND(ROUND($C178*$F178*$B$6,9),2))</f>
        <v/>
      </c>
      <c r="L178" s="18" t="str">
        <f aca="false">IF(OR(AND($A178="",$B178="",$C178="",$D178="",$E178="",$F178="",$G178="",$H178=""),NOT($S178="")),"",ROUND(ROUND($C178*$G178,9),2))</f>
        <v/>
      </c>
      <c r="M178" s="19" t="str">
        <f aca="false">IF(OR(AND($A178="",$B178="",$C178="",$D178="",$E178="",$F178="",$G178="",$H178=""),NOT($S178="")),"",ROUND($J178+$K178+$L178+$H178,2))</f>
        <v/>
      </c>
      <c r="N178" s="19" t="str">
        <f aca="false">IF(OR(AND($A178="",$B178="",$C178="",$D178="",$E178="",$F178="",$G178="",$H178=""),NOT($S178="")),"",ROUND($B178-$M178,2))</f>
        <v/>
      </c>
      <c r="O178" s="20" t="str">
        <f aca="false">IF(OR(AND($A178="",$B178="",$C178="",$D178="",$E178="",$F178="",$G178="",$H178=""),NOT($S178="")),"",IF($B178=0,"n/a",INT(ROUND($N178/$B178*10000,6))/10000))</f>
        <v/>
      </c>
      <c r="P178" s="18" t="str">
        <f aca="false">IF(OR(AND($A178="",$B178="",$C178="",$D178="",$E178="",$F178="",$G178="",$H178=""),NOT($S178="")),"",ROUNDUP(ROUND($M178*10000/(10000-TargetH),9),2))</f>
        <v/>
      </c>
      <c r="Q178" s="18" t="str">
        <f aca="false">IF(OR(AND($A178="",$B178="",$C178="",$D178="",$E178="",$F178="",$G178="",$H178=""),NOT($S178="")),"",MAX(0,ROUND($P178-$B178,2)))</f>
        <v/>
      </c>
      <c r="R178" s="21" t="str">
        <f aca="false">IF(AND($A178="",$B178="",$C178="",$D178="",$E178="",$F178="",$G178="",$H178=""),"",IF(NOT($S178=""),"Check inputs",IF($B178=0,"No fee entered",IF($N178&lt;0,"Losing money on entered costs",IF(ROUND($N178*100,0)*10000&lt;TargetH*ROUND($B178*100,0),"Below your target","Meets your target")))))</f>
        <v/>
      </c>
      <c r="S178" s="22" t="str">
        <f aca="false">IF(AND($A178="",$B178="",$C178="",$D178="",$E178="",$F178="",$G178="",$H178=""),"",TRIM(IF($A178="","Customer/site label is missing. ","")&amp;IF($B178="","Monthly fee is missing. ",IF(NOT(ISNUMBER($B178)),"Monthly fee must be a number. ",IF($B178&lt;0,"Monthly fee can't be negative. ",IF(ROUND($B178,2)&lt;&gt;$B178,"Monthly fee: use up to 2 decimal places. ",IF($B178&gt;99999.99,"Monthly fee: use 99,999.99 or less. ","")))))&amp;IF($C178="","Visits per month is missing. ",IF(NOT(ISNUMBER($C178)),"Visits per month must be a number. ",IF($C178&lt;0,"Visits per month can't be negative. ",IF(ROUND($C178,3)&lt;&gt;$C178,"Visits per month: use up to 3 decimal places. ",IF($C178=0,"Visits per month must be more than 0. ",IF($C178&gt;31,"Visits per month: use 31 or less. ",""))))))&amp;IF($D178="","Service minutes per visit is missing. ",IF(NOT(ISNUMBER($D178)),"Service minutes per visit must be a number. ",IF($D178&lt;0,"Service minutes per visit can't be negative. ",IF(ROUND($D178,2)&lt;&gt;$D178,"Service minutes per visit: use up to 2 decimal places. ",IF($D178=0,"Service minutes per visit must be more than 0. ",IF($D178&gt;600,"Service minutes per visit: use 600 or less. ",""))))))&amp;IF($E178="","Drive minutes per visit is missing. ",IF(NOT(ISNUMBER($E178)),"Drive minutes per visit must be a number. ",IF($E178&lt;0,"Drive minutes per visit can't be negative. ",IF(ROUND($E178,2)&lt;&gt;$E178,"Drive minutes per visit: use up to 2 decimal places. ",IF($E178&gt;600,"Drive minutes per visit: use 600 or less. ","")))))&amp;IF($F178="","Drive miles per visit is missing. ",IF(NOT(ISNUMBER($F178)),"Drive miles per visit must be a number. ",IF($F178&lt;0,"Drive miles per visit can't be negative. ",IF(ROUND($F178,2)&lt;&gt;$F178,"Drive miles per visit: use up to 2 decimal places. ",IF($F178&gt;1000,"Drive miles per visit: use 1,000 or less. ","")))))&amp;IF($G178="","Chemicals per visit is missing. ",IF(NOT(ISNUMBER($G178)),"Chemicals per visit must be a number. ",IF($G178&lt;0,"Chemicals per visit can't be negative. ",IF(ROUND($G178,2)&lt;&gt;$G178,"Chemicals per visit: use up to 2 decimal places. ",IF($G178&gt;9999.99,"Chemicals per visit: use 9,999.99 or less. ","")))))&amp;IF($H178="","Other monthly costs is missing. ",IF(NOT(ISNUMBER($H178)),"Other monthly costs must be a number. ",IF($H178&lt;0,"Other monthly costs can't be negative. ",IF(ROUND($H178,2)&lt;&gt;$H178,"Other monthly costs: use up to 2 decimal places. ",IF($H178&gt;99999.99,"Other monthly costs: use 99,999.99 or less. ","")))))&amp;IF(SettingsOK,"","Settings incomplete.")))</f>
        <v/>
      </c>
      <c r="T178" s="23" t="str">
        <f aca="false">IF(AND($A178="",$B178="",$C178="",$D178="",$E178="",$F178="",$G178="",$H178=""),"",IF(Review!$B$5="Check inputs",IF($R178="Check inputs",ROW(),""),IF($R178="Check inputs",IF(Review!$B$5="All accounts",-2000000000000000+ROW(),""),IF(AND(Review!$B$5="Needs review",$R178="Meets your target"),"",IF($R178="No fee entered",-1000000000000000+ROW(),$N178/$B178+ROW()/1000000000)))))</f>
        <v/>
      </c>
    </row>
    <row r="179" customFormat="false" ht="15" hidden="false" customHeight="false" outlineLevel="0" collapsed="false">
      <c r="A179" s="14"/>
      <c r="B179" s="15"/>
      <c r="C179" s="16"/>
      <c r="D179" s="14"/>
      <c r="E179" s="14"/>
      <c r="F179" s="14"/>
      <c r="G179" s="15"/>
      <c r="H179" s="15"/>
      <c r="I179" s="17" t="str">
        <f aca="false">IF(OR(AND($A179="",$B179="",$C179="",$D179="",$E179="",$F179="",$G179="",$H179=""),NOT($S179="")),"",ROUND($C179*($D179+$E179)/60,4))</f>
        <v/>
      </c>
      <c r="J179" s="18" t="str">
        <f aca="false">IF(OR(AND($A179="",$B179="",$C179="",$D179="",$E179="",$F179="",$G179="",$H179=""),NOT($S179="")),"",ROUND(ROUND($C179*($D179+$E179)/60*$B$5,9),2))</f>
        <v/>
      </c>
      <c r="K179" s="18" t="str">
        <f aca="false">IF(OR(AND($A179="",$B179="",$C179="",$D179="",$E179="",$F179="",$G179="",$H179=""),NOT($S179="")),"",ROUND(ROUND($C179*$F179*$B$6,9),2))</f>
        <v/>
      </c>
      <c r="L179" s="18" t="str">
        <f aca="false">IF(OR(AND($A179="",$B179="",$C179="",$D179="",$E179="",$F179="",$G179="",$H179=""),NOT($S179="")),"",ROUND(ROUND($C179*$G179,9),2))</f>
        <v/>
      </c>
      <c r="M179" s="19" t="str">
        <f aca="false">IF(OR(AND($A179="",$B179="",$C179="",$D179="",$E179="",$F179="",$G179="",$H179=""),NOT($S179="")),"",ROUND($J179+$K179+$L179+$H179,2))</f>
        <v/>
      </c>
      <c r="N179" s="19" t="str">
        <f aca="false">IF(OR(AND($A179="",$B179="",$C179="",$D179="",$E179="",$F179="",$G179="",$H179=""),NOT($S179="")),"",ROUND($B179-$M179,2))</f>
        <v/>
      </c>
      <c r="O179" s="20" t="str">
        <f aca="false">IF(OR(AND($A179="",$B179="",$C179="",$D179="",$E179="",$F179="",$G179="",$H179=""),NOT($S179="")),"",IF($B179=0,"n/a",INT(ROUND($N179/$B179*10000,6))/10000))</f>
        <v/>
      </c>
      <c r="P179" s="18" t="str">
        <f aca="false">IF(OR(AND($A179="",$B179="",$C179="",$D179="",$E179="",$F179="",$G179="",$H179=""),NOT($S179="")),"",ROUNDUP(ROUND($M179*10000/(10000-TargetH),9),2))</f>
        <v/>
      </c>
      <c r="Q179" s="18" t="str">
        <f aca="false">IF(OR(AND($A179="",$B179="",$C179="",$D179="",$E179="",$F179="",$G179="",$H179=""),NOT($S179="")),"",MAX(0,ROUND($P179-$B179,2)))</f>
        <v/>
      </c>
      <c r="R179" s="21" t="str">
        <f aca="false">IF(AND($A179="",$B179="",$C179="",$D179="",$E179="",$F179="",$G179="",$H179=""),"",IF(NOT($S179=""),"Check inputs",IF($B179=0,"No fee entered",IF($N179&lt;0,"Losing money on entered costs",IF(ROUND($N179*100,0)*10000&lt;TargetH*ROUND($B179*100,0),"Below your target","Meets your target")))))</f>
        <v/>
      </c>
      <c r="S179" s="22" t="str">
        <f aca="false">IF(AND($A179="",$B179="",$C179="",$D179="",$E179="",$F179="",$G179="",$H179=""),"",TRIM(IF($A179="","Customer/site label is missing. ","")&amp;IF($B179="","Monthly fee is missing. ",IF(NOT(ISNUMBER($B179)),"Monthly fee must be a number. ",IF($B179&lt;0,"Monthly fee can't be negative. ",IF(ROUND($B179,2)&lt;&gt;$B179,"Monthly fee: use up to 2 decimal places. ",IF($B179&gt;99999.99,"Monthly fee: use 99,999.99 or less. ","")))))&amp;IF($C179="","Visits per month is missing. ",IF(NOT(ISNUMBER($C179)),"Visits per month must be a number. ",IF($C179&lt;0,"Visits per month can't be negative. ",IF(ROUND($C179,3)&lt;&gt;$C179,"Visits per month: use up to 3 decimal places. ",IF($C179=0,"Visits per month must be more than 0. ",IF($C179&gt;31,"Visits per month: use 31 or less. ",""))))))&amp;IF($D179="","Service minutes per visit is missing. ",IF(NOT(ISNUMBER($D179)),"Service minutes per visit must be a number. ",IF($D179&lt;0,"Service minutes per visit can't be negative. ",IF(ROUND($D179,2)&lt;&gt;$D179,"Service minutes per visit: use up to 2 decimal places. ",IF($D179=0,"Service minutes per visit must be more than 0. ",IF($D179&gt;600,"Service minutes per visit: use 600 or less. ",""))))))&amp;IF($E179="","Drive minutes per visit is missing. ",IF(NOT(ISNUMBER($E179)),"Drive minutes per visit must be a number. ",IF($E179&lt;0,"Drive minutes per visit can't be negative. ",IF(ROUND($E179,2)&lt;&gt;$E179,"Drive minutes per visit: use up to 2 decimal places. ",IF($E179&gt;600,"Drive minutes per visit: use 600 or less. ","")))))&amp;IF($F179="","Drive miles per visit is missing. ",IF(NOT(ISNUMBER($F179)),"Drive miles per visit must be a number. ",IF($F179&lt;0,"Drive miles per visit can't be negative. ",IF(ROUND($F179,2)&lt;&gt;$F179,"Drive miles per visit: use up to 2 decimal places. ",IF($F179&gt;1000,"Drive miles per visit: use 1,000 or less. ","")))))&amp;IF($G179="","Chemicals per visit is missing. ",IF(NOT(ISNUMBER($G179)),"Chemicals per visit must be a number. ",IF($G179&lt;0,"Chemicals per visit can't be negative. ",IF(ROUND($G179,2)&lt;&gt;$G179,"Chemicals per visit: use up to 2 decimal places. ",IF($G179&gt;9999.99,"Chemicals per visit: use 9,999.99 or less. ","")))))&amp;IF($H179="","Other monthly costs is missing. ",IF(NOT(ISNUMBER($H179)),"Other monthly costs must be a number. ",IF($H179&lt;0,"Other monthly costs can't be negative. ",IF(ROUND($H179,2)&lt;&gt;$H179,"Other monthly costs: use up to 2 decimal places. ",IF($H179&gt;99999.99,"Other monthly costs: use 99,999.99 or less. ","")))))&amp;IF(SettingsOK,"","Settings incomplete.")))</f>
        <v/>
      </c>
      <c r="T179" s="23" t="str">
        <f aca="false">IF(AND($A179="",$B179="",$C179="",$D179="",$E179="",$F179="",$G179="",$H179=""),"",IF(Review!$B$5="Check inputs",IF($R179="Check inputs",ROW(),""),IF($R179="Check inputs",IF(Review!$B$5="All accounts",-2000000000000000+ROW(),""),IF(AND(Review!$B$5="Needs review",$R179="Meets your target"),"",IF($R179="No fee entered",-1000000000000000+ROW(),$N179/$B179+ROW()/1000000000)))))</f>
        <v/>
      </c>
    </row>
    <row r="180" customFormat="false" ht="15" hidden="false" customHeight="false" outlineLevel="0" collapsed="false">
      <c r="A180" s="14"/>
      <c r="B180" s="15"/>
      <c r="C180" s="16"/>
      <c r="D180" s="14"/>
      <c r="E180" s="14"/>
      <c r="F180" s="14"/>
      <c r="G180" s="15"/>
      <c r="H180" s="15"/>
      <c r="I180" s="17" t="str">
        <f aca="false">IF(OR(AND($A180="",$B180="",$C180="",$D180="",$E180="",$F180="",$G180="",$H180=""),NOT($S180="")),"",ROUND($C180*($D180+$E180)/60,4))</f>
        <v/>
      </c>
      <c r="J180" s="18" t="str">
        <f aca="false">IF(OR(AND($A180="",$B180="",$C180="",$D180="",$E180="",$F180="",$G180="",$H180=""),NOT($S180="")),"",ROUND(ROUND($C180*($D180+$E180)/60*$B$5,9),2))</f>
        <v/>
      </c>
      <c r="K180" s="18" t="str">
        <f aca="false">IF(OR(AND($A180="",$B180="",$C180="",$D180="",$E180="",$F180="",$G180="",$H180=""),NOT($S180="")),"",ROUND(ROUND($C180*$F180*$B$6,9),2))</f>
        <v/>
      </c>
      <c r="L180" s="18" t="str">
        <f aca="false">IF(OR(AND($A180="",$B180="",$C180="",$D180="",$E180="",$F180="",$G180="",$H180=""),NOT($S180="")),"",ROUND(ROUND($C180*$G180,9),2))</f>
        <v/>
      </c>
      <c r="M180" s="19" t="str">
        <f aca="false">IF(OR(AND($A180="",$B180="",$C180="",$D180="",$E180="",$F180="",$G180="",$H180=""),NOT($S180="")),"",ROUND($J180+$K180+$L180+$H180,2))</f>
        <v/>
      </c>
      <c r="N180" s="19" t="str">
        <f aca="false">IF(OR(AND($A180="",$B180="",$C180="",$D180="",$E180="",$F180="",$G180="",$H180=""),NOT($S180="")),"",ROUND($B180-$M180,2))</f>
        <v/>
      </c>
      <c r="O180" s="20" t="str">
        <f aca="false">IF(OR(AND($A180="",$B180="",$C180="",$D180="",$E180="",$F180="",$G180="",$H180=""),NOT($S180="")),"",IF($B180=0,"n/a",INT(ROUND($N180/$B180*10000,6))/10000))</f>
        <v/>
      </c>
      <c r="P180" s="18" t="str">
        <f aca="false">IF(OR(AND($A180="",$B180="",$C180="",$D180="",$E180="",$F180="",$G180="",$H180=""),NOT($S180="")),"",ROUNDUP(ROUND($M180*10000/(10000-TargetH),9),2))</f>
        <v/>
      </c>
      <c r="Q180" s="18" t="str">
        <f aca="false">IF(OR(AND($A180="",$B180="",$C180="",$D180="",$E180="",$F180="",$G180="",$H180=""),NOT($S180="")),"",MAX(0,ROUND($P180-$B180,2)))</f>
        <v/>
      </c>
      <c r="R180" s="21" t="str">
        <f aca="false">IF(AND($A180="",$B180="",$C180="",$D180="",$E180="",$F180="",$G180="",$H180=""),"",IF(NOT($S180=""),"Check inputs",IF($B180=0,"No fee entered",IF($N180&lt;0,"Losing money on entered costs",IF(ROUND($N180*100,0)*10000&lt;TargetH*ROUND($B180*100,0),"Below your target","Meets your target")))))</f>
        <v/>
      </c>
      <c r="S180" s="22" t="str">
        <f aca="false">IF(AND($A180="",$B180="",$C180="",$D180="",$E180="",$F180="",$G180="",$H180=""),"",TRIM(IF($A180="","Customer/site label is missing. ","")&amp;IF($B180="","Monthly fee is missing. ",IF(NOT(ISNUMBER($B180)),"Monthly fee must be a number. ",IF($B180&lt;0,"Monthly fee can't be negative. ",IF(ROUND($B180,2)&lt;&gt;$B180,"Monthly fee: use up to 2 decimal places. ",IF($B180&gt;99999.99,"Monthly fee: use 99,999.99 or less. ","")))))&amp;IF($C180="","Visits per month is missing. ",IF(NOT(ISNUMBER($C180)),"Visits per month must be a number. ",IF($C180&lt;0,"Visits per month can't be negative. ",IF(ROUND($C180,3)&lt;&gt;$C180,"Visits per month: use up to 3 decimal places. ",IF($C180=0,"Visits per month must be more than 0. ",IF($C180&gt;31,"Visits per month: use 31 or less. ",""))))))&amp;IF($D180="","Service minutes per visit is missing. ",IF(NOT(ISNUMBER($D180)),"Service minutes per visit must be a number. ",IF($D180&lt;0,"Service minutes per visit can't be negative. ",IF(ROUND($D180,2)&lt;&gt;$D180,"Service minutes per visit: use up to 2 decimal places. ",IF($D180=0,"Service minutes per visit must be more than 0. ",IF($D180&gt;600,"Service minutes per visit: use 600 or less. ",""))))))&amp;IF($E180="","Drive minutes per visit is missing. ",IF(NOT(ISNUMBER($E180)),"Drive minutes per visit must be a number. ",IF($E180&lt;0,"Drive minutes per visit can't be negative. ",IF(ROUND($E180,2)&lt;&gt;$E180,"Drive minutes per visit: use up to 2 decimal places. ",IF($E180&gt;600,"Drive minutes per visit: use 600 or less. ","")))))&amp;IF($F180="","Drive miles per visit is missing. ",IF(NOT(ISNUMBER($F180)),"Drive miles per visit must be a number. ",IF($F180&lt;0,"Drive miles per visit can't be negative. ",IF(ROUND($F180,2)&lt;&gt;$F180,"Drive miles per visit: use up to 2 decimal places. ",IF($F180&gt;1000,"Drive miles per visit: use 1,000 or less. ","")))))&amp;IF($G180="","Chemicals per visit is missing. ",IF(NOT(ISNUMBER($G180)),"Chemicals per visit must be a number. ",IF($G180&lt;0,"Chemicals per visit can't be negative. ",IF(ROUND($G180,2)&lt;&gt;$G180,"Chemicals per visit: use up to 2 decimal places. ",IF($G180&gt;9999.99,"Chemicals per visit: use 9,999.99 or less. ","")))))&amp;IF($H180="","Other monthly costs is missing. ",IF(NOT(ISNUMBER($H180)),"Other monthly costs must be a number. ",IF($H180&lt;0,"Other monthly costs can't be negative. ",IF(ROUND($H180,2)&lt;&gt;$H180,"Other monthly costs: use up to 2 decimal places. ",IF($H180&gt;99999.99,"Other monthly costs: use 99,999.99 or less. ","")))))&amp;IF(SettingsOK,"","Settings incomplete.")))</f>
        <v/>
      </c>
      <c r="T180" s="23" t="str">
        <f aca="false">IF(AND($A180="",$B180="",$C180="",$D180="",$E180="",$F180="",$G180="",$H180=""),"",IF(Review!$B$5="Check inputs",IF($R180="Check inputs",ROW(),""),IF($R180="Check inputs",IF(Review!$B$5="All accounts",-2000000000000000+ROW(),""),IF(AND(Review!$B$5="Needs review",$R180="Meets your target"),"",IF($R180="No fee entered",-1000000000000000+ROW(),$N180/$B180+ROW()/1000000000)))))</f>
        <v/>
      </c>
    </row>
    <row r="181" customFormat="false" ht="15" hidden="false" customHeight="false" outlineLevel="0" collapsed="false">
      <c r="A181" s="14"/>
      <c r="B181" s="15"/>
      <c r="C181" s="16"/>
      <c r="D181" s="14"/>
      <c r="E181" s="14"/>
      <c r="F181" s="14"/>
      <c r="G181" s="15"/>
      <c r="H181" s="15"/>
      <c r="I181" s="17" t="str">
        <f aca="false">IF(OR(AND($A181="",$B181="",$C181="",$D181="",$E181="",$F181="",$G181="",$H181=""),NOT($S181="")),"",ROUND($C181*($D181+$E181)/60,4))</f>
        <v/>
      </c>
      <c r="J181" s="18" t="str">
        <f aca="false">IF(OR(AND($A181="",$B181="",$C181="",$D181="",$E181="",$F181="",$G181="",$H181=""),NOT($S181="")),"",ROUND(ROUND($C181*($D181+$E181)/60*$B$5,9),2))</f>
        <v/>
      </c>
      <c r="K181" s="18" t="str">
        <f aca="false">IF(OR(AND($A181="",$B181="",$C181="",$D181="",$E181="",$F181="",$G181="",$H181=""),NOT($S181="")),"",ROUND(ROUND($C181*$F181*$B$6,9),2))</f>
        <v/>
      </c>
      <c r="L181" s="18" t="str">
        <f aca="false">IF(OR(AND($A181="",$B181="",$C181="",$D181="",$E181="",$F181="",$G181="",$H181=""),NOT($S181="")),"",ROUND(ROUND($C181*$G181,9),2))</f>
        <v/>
      </c>
      <c r="M181" s="19" t="str">
        <f aca="false">IF(OR(AND($A181="",$B181="",$C181="",$D181="",$E181="",$F181="",$G181="",$H181=""),NOT($S181="")),"",ROUND($J181+$K181+$L181+$H181,2))</f>
        <v/>
      </c>
      <c r="N181" s="19" t="str">
        <f aca="false">IF(OR(AND($A181="",$B181="",$C181="",$D181="",$E181="",$F181="",$G181="",$H181=""),NOT($S181="")),"",ROUND($B181-$M181,2))</f>
        <v/>
      </c>
      <c r="O181" s="20" t="str">
        <f aca="false">IF(OR(AND($A181="",$B181="",$C181="",$D181="",$E181="",$F181="",$G181="",$H181=""),NOT($S181="")),"",IF($B181=0,"n/a",INT(ROUND($N181/$B181*10000,6))/10000))</f>
        <v/>
      </c>
      <c r="P181" s="18" t="str">
        <f aca="false">IF(OR(AND($A181="",$B181="",$C181="",$D181="",$E181="",$F181="",$G181="",$H181=""),NOT($S181="")),"",ROUNDUP(ROUND($M181*10000/(10000-TargetH),9),2))</f>
        <v/>
      </c>
      <c r="Q181" s="18" t="str">
        <f aca="false">IF(OR(AND($A181="",$B181="",$C181="",$D181="",$E181="",$F181="",$G181="",$H181=""),NOT($S181="")),"",MAX(0,ROUND($P181-$B181,2)))</f>
        <v/>
      </c>
      <c r="R181" s="21" t="str">
        <f aca="false">IF(AND($A181="",$B181="",$C181="",$D181="",$E181="",$F181="",$G181="",$H181=""),"",IF(NOT($S181=""),"Check inputs",IF($B181=0,"No fee entered",IF($N181&lt;0,"Losing money on entered costs",IF(ROUND($N181*100,0)*10000&lt;TargetH*ROUND($B181*100,0),"Below your target","Meets your target")))))</f>
        <v/>
      </c>
      <c r="S181" s="22" t="str">
        <f aca="false">IF(AND($A181="",$B181="",$C181="",$D181="",$E181="",$F181="",$G181="",$H181=""),"",TRIM(IF($A181="","Customer/site label is missing. ","")&amp;IF($B181="","Monthly fee is missing. ",IF(NOT(ISNUMBER($B181)),"Monthly fee must be a number. ",IF($B181&lt;0,"Monthly fee can't be negative. ",IF(ROUND($B181,2)&lt;&gt;$B181,"Monthly fee: use up to 2 decimal places. ",IF($B181&gt;99999.99,"Monthly fee: use 99,999.99 or less. ","")))))&amp;IF($C181="","Visits per month is missing. ",IF(NOT(ISNUMBER($C181)),"Visits per month must be a number. ",IF($C181&lt;0,"Visits per month can't be negative. ",IF(ROUND($C181,3)&lt;&gt;$C181,"Visits per month: use up to 3 decimal places. ",IF($C181=0,"Visits per month must be more than 0. ",IF($C181&gt;31,"Visits per month: use 31 or less. ",""))))))&amp;IF($D181="","Service minutes per visit is missing. ",IF(NOT(ISNUMBER($D181)),"Service minutes per visit must be a number. ",IF($D181&lt;0,"Service minutes per visit can't be negative. ",IF(ROUND($D181,2)&lt;&gt;$D181,"Service minutes per visit: use up to 2 decimal places. ",IF($D181=0,"Service minutes per visit must be more than 0. ",IF($D181&gt;600,"Service minutes per visit: use 600 or less. ",""))))))&amp;IF($E181="","Drive minutes per visit is missing. ",IF(NOT(ISNUMBER($E181)),"Drive minutes per visit must be a number. ",IF($E181&lt;0,"Drive minutes per visit can't be negative. ",IF(ROUND($E181,2)&lt;&gt;$E181,"Drive minutes per visit: use up to 2 decimal places. ",IF($E181&gt;600,"Drive minutes per visit: use 600 or less. ","")))))&amp;IF($F181="","Drive miles per visit is missing. ",IF(NOT(ISNUMBER($F181)),"Drive miles per visit must be a number. ",IF($F181&lt;0,"Drive miles per visit can't be negative. ",IF(ROUND($F181,2)&lt;&gt;$F181,"Drive miles per visit: use up to 2 decimal places. ",IF($F181&gt;1000,"Drive miles per visit: use 1,000 or less. ","")))))&amp;IF($G181="","Chemicals per visit is missing. ",IF(NOT(ISNUMBER($G181)),"Chemicals per visit must be a number. ",IF($G181&lt;0,"Chemicals per visit can't be negative. ",IF(ROUND($G181,2)&lt;&gt;$G181,"Chemicals per visit: use up to 2 decimal places. ",IF($G181&gt;9999.99,"Chemicals per visit: use 9,999.99 or less. ","")))))&amp;IF($H181="","Other monthly costs is missing. ",IF(NOT(ISNUMBER($H181)),"Other monthly costs must be a number. ",IF($H181&lt;0,"Other monthly costs can't be negative. ",IF(ROUND($H181,2)&lt;&gt;$H181,"Other monthly costs: use up to 2 decimal places. ",IF($H181&gt;99999.99,"Other monthly costs: use 99,999.99 or less. ","")))))&amp;IF(SettingsOK,"","Settings incomplete.")))</f>
        <v/>
      </c>
      <c r="T181" s="23" t="str">
        <f aca="false">IF(AND($A181="",$B181="",$C181="",$D181="",$E181="",$F181="",$G181="",$H181=""),"",IF(Review!$B$5="Check inputs",IF($R181="Check inputs",ROW(),""),IF($R181="Check inputs",IF(Review!$B$5="All accounts",-2000000000000000+ROW(),""),IF(AND(Review!$B$5="Needs review",$R181="Meets your target"),"",IF($R181="No fee entered",-1000000000000000+ROW(),$N181/$B181+ROW()/1000000000)))))</f>
        <v/>
      </c>
    </row>
    <row r="182" customFormat="false" ht="15" hidden="false" customHeight="false" outlineLevel="0" collapsed="false">
      <c r="A182" s="14"/>
      <c r="B182" s="15"/>
      <c r="C182" s="16"/>
      <c r="D182" s="14"/>
      <c r="E182" s="14"/>
      <c r="F182" s="14"/>
      <c r="G182" s="15"/>
      <c r="H182" s="15"/>
      <c r="I182" s="17" t="str">
        <f aca="false">IF(OR(AND($A182="",$B182="",$C182="",$D182="",$E182="",$F182="",$G182="",$H182=""),NOT($S182="")),"",ROUND($C182*($D182+$E182)/60,4))</f>
        <v/>
      </c>
      <c r="J182" s="18" t="str">
        <f aca="false">IF(OR(AND($A182="",$B182="",$C182="",$D182="",$E182="",$F182="",$G182="",$H182=""),NOT($S182="")),"",ROUND(ROUND($C182*($D182+$E182)/60*$B$5,9),2))</f>
        <v/>
      </c>
      <c r="K182" s="18" t="str">
        <f aca="false">IF(OR(AND($A182="",$B182="",$C182="",$D182="",$E182="",$F182="",$G182="",$H182=""),NOT($S182="")),"",ROUND(ROUND($C182*$F182*$B$6,9),2))</f>
        <v/>
      </c>
      <c r="L182" s="18" t="str">
        <f aca="false">IF(OR(AND($A182="",$B182="",$C182="",$D182="",$E182="",$F182="",$G182="",$H182=""),NOT($S182="")),"",ROUND(ROUND($C182*$G182,9),2))</f>
        <v/>
      </c>
      <c r="M182" s="19" t="str">
        <f aca="false">IF(OR(AND($A182="",$B182="",$C182="",$D182="",$E182="",$F182="",$G182="",$H182=""),NOT($S182="")),"",ROUND($J182+$K182+$L182+$H182,2))</f>
        <v/>
      </c>
      <c r="N182" s="19" t="str">
        <f aca="false">IF(OR(AND($A182="",$B182="",$C182="",$D182="",$E182="",$F182="",$G182="",$H182=""),NOT($S182="")),"",ROUND($B182-$M182,2))</f>
        <v/>
      </c>
      <c r="O182" s="20" t="str">
        <f aca="false">IF(OR(AND($A182="",$B182="",$C182="",$D182="",$E182="",$F182="",$G182="",$H182=""),NOT($S182="")),"",IF($B182=0,"n/a",INT(ROUND($N182/$B182*10000,6))/10000))</f>
        <v/>
      </c>
      <c r="P182" s="18" t="str">
        <f aca="false">IF(OR(AND($A182="",$B182="",$C182="",$D182="",$E182="",$F182="",$G182="",$H182=""),NOT($S182="")),"",ROUNDUP(ROUND($M182*10000/(10000-TargetH),9),2))</f>
        <v/>
      </c>
      <c r="Q182" s="18" t="str">
        <f aca="false">IF(OR(AND($A182="",$B182="",$C182="",$D182="",$E182="",$F182="",$G182="",$H182=""),NOT($S182="")),"",MAX(0,ROUND($P182-$B182,2)))</f>
        <v/>
      </c>
      <c r="R182" s="21" t="str">
        <f aca="false">IF(AND($A182="",$B182="",$C182="",$D182="",$E182="",$F182="",$G182="",$H182=""),"",IF(NOT($S182=""),"Check inputs",IF($B182=0,"No fee entered",IF($N182&lt;0,"Losing money on entered costs",IF(ROUND($N182*100,0)*10000&lt;TargetH*ROUND($B182*100,0),"Below your target","Meets your target")))))</f>
        <v/>
      </c>
      <c r="S182" s="22" t="str">
        <f aca="false">IF(AND($A182="",$B182="",$C182="",$D182="",$E182="",$F182="",$G182="",$H182=""),"",TRIM(IF($A182="","Customer/site label is missing. ","")&amp;IF($B182="","Monthly fee is missing. ",IF(NOT(ISNUMBER($B182)),"Monthly fee must be a number. ",IF($B182&lt;0,"Monthly fee can't be negative. ",IF(ROUND($B182,2)&lt;&gt;$B182,"Monthly fee: use up to 2 decimal places. ",IF($B182&gt;99999.99,"Monthly fee: use 99,999.99 or less. ","")))))&amp;IF($C182="","Visits per month is missing. ",IF(NOT(ISNUMBER($C182)),"Visits per month must be a number. ",IF($C182&lt;0,"Visits per month can't be negative. ",IF(ROUND($C182,3)&lt;&gt;$C182,"Visits per month: use up to 3 decimal places. ",IF($C182=0,"Visits per month must be more than 0. ",IF($C182&gt;31,"Visits per month: use 31 or less. ",""))))))&amp;IF($D182="","Service minutes per visit is missing. ",IF(NOT(ISNUMBER($D182)),"Service minutes per visit must be a number. ",IF($D182&lt;0,"Service minutes per visit can't be negative. ",IF(ROUND($D182,2)&lt;&gt;$D182,"Service minutes per visit: use up to 2 decimal places. ",IF($D182=0,"Service minutes per visit must be more than 0. ",IF($D182&gt;600,"Service minutes per visit: use 600 or less. ",""))))))&amp;IF($E182="","Drive minutes per visit is missing. ",IF(NOT(ISNUMBER($E182)),"Drive minutes per visit must be a number. ",IF($E182&lt;0,"Drive minutes per visit can't be negative. ",IF(ROUND($E182,2)&lt;&gt;$E182,"Drive minutes per visit: use up to 2 decimal places. ",IF($E182&gt;600,"Drive minutes per visit: use 600 or less. ","")))))&amp;IF($F182="","Drive miles per visit is missing. ",IF(NOT(ISNUMBER($F182)),"Drive miles per visit must be a number. ",IF($F182&lt;0,"Drive miles per visit can't be negative. ",IF(ROUND($F182,2)&lt;&gt;$F182,"Drive miles per visit: use up to 2 decimal places. ",IF($F182&gt;1000,"Drive miles per visit: use 1,000 or less. ","")))))&amp;IF($G182="","Chemicals per visit is missing. ",IF(NOT(ISNUMBER($G182)),"Chemicals per visit must be a number. ",IF($G182&lt;0,"Chemicals per visit can't be negative. ",IF(ROUND($G182,2)&lt;&gt;$G182,"Chemicals per visit: use up to 2 decimal places. ",IF($G182&gt;9999.99,"Chemicals per visit: use 9,999.99 or less. ","")))))&amp;IF($H182="","Other monthly costs is missing. ",IF(NOT(ISNUMBER($H182)),"Other monthly costs must be a number. ",IF($H182&lt;0,"Other monthly costs can't be negative. ",IF(ROUND($H182,2)&lt;&gt;$H182,"Other monthly costs: use up to 2 decimal places. ",IF($H182&gt;99999.99,"Other monthly costs: use 99,999.99 or less. ","")))))&amp;IF(SettingsOK,"","Settings incomplete.")))</f>
        <v/>
      </c>
      <c r="T182" s="23" t="str">
        <f aca="false">IF(AND($A182="",$B182="",$C182="",$D182="",$E182="",$F182="",$G182="",$H182=""),"",IF(Review!$B$5="Check inputs",IF($R182="Check inputs",ROW(),""),IF($R182="Check inputs",IF(Review!$B$5="All accounts",-2000000000000000+ROW(),""),IF(AND(Review!$B$5="Needs review",$R182="Meets your target"),"",IF($R182="No fee entered",-1000000000000000+ROW(),$N182/$B182+ROW()/1000000000)))))</f>
        <v/>
      </c>
    </row>
    <row r="183" customFormat="false" ht="15" hidden="false" customHeight="false" outlineLevel="0" collapsed="false">
      <c r="A183" s="14"/>
      <c r="B183" s="15"/>
      <c r="C183" s="16"/>
      <c r="D183" s="14"/>
      <c r="E183" s="14"/>
      <c r="F183" s="14"/>
      <c r="G183" s="15"/>
      <c r="H183" s="15"/>
      <c r="I183" s="17" t="str">
        <f aca="false">IF(OR(AND($A183="",$B183="",$C183="",$D183="",$E183="",$F183="",$G183="",$H183=""),NOT($S183="")),"",ROUND($C183*($D183+$E183)/60,4))</f>
        <v/>
      </c>
      <c r="J183" s="18" t="str">
        <f aca="false">IF(OR(AND($A183="",$B183="",$C183="",$D183="",$E183="",$F183="",$G183="",$H183=""),NOT($S183="")),"",ROUND(ROUND($C183*($D183+$E183)/60*$B$5,9),2))</f>
        <v/>
      </c>
      <c r="K183" s="18" t="str">
        <f aca="false">IF(OR(AND($A183="",$B183="",$C183="",$D183="",$E183="",$F183="",$G183="",$H183=""),NOT($S183="")),"",ROUND(ROUND($C183*$F183*$B$6,9),2))</f>
        <v/>
      </c>
      <c r="L183" s="18" t="str">
        <f aca="false">IF(OR(AND($A183="",$B183="",$C183="",$D183="",$E183="",$F183="",$G183="",$H183=""),NOT($S183="")),"",ROUND(ROUND($C183*$G183,9),2))</f>
        <v/>
      </c>
      <c r="M183" s="19" t="str">
        <f aca="false">IF(OR(AND($A183="",$B183="",$C183="",$D183="",$E183="",$F183="",$G183="",$H183=""),NOT($S183="")),"",ROUND($J183+$K183+$L183+$H183,2))</f>
        <v/>
      </c>
      <c r="N183" s="19" t="str">
        <f aca="false">IF(OR(AND($A183="",$B183="",$C183="",$D183="",$E183="",$F183="",$G183="",$H183=""),NOT($S183="")),"",ROUND($B183-$M183,2))</f>
        <v/>
      </c>
      <c r="O183" s="20" t="str">
        <f aca="false">IF(OR(AND($A183="",$B183="",$C183="",$D183="",$E183="",$F183="",$G183="",$H183=""),NOT($S183="")),"",IF($B183=0,"n/a",INT(ROUND($N183/$B183*10000,6))/10000))</f>
        <v/>
      </c>
      <c r="P183" s="18" t="str">
        <f aca="false">IF(OR(AND($A183="",$B183="",$C183="",$D183="",$E183="",$F183="",$G183="",$H183=""),NOT($S183="")),"",ROUNDUP(ROUND($M183*10000/(10000-TargetH),9),2))</f>
        <v/>
      </c>
      <c r="Q183" s="18" t="str">
        <f aca="false">IF(OR(AND($A183="",$B183="",$C183="",$D183="",$E183="",$F183="",$G183="",$H183=""),NOT($S183="")),"",MAX(0,ROUND($P183-$B183,2)))</f>
        <v/>
      </c>
      <c r="R183" s="21" t="str">
        <f aca="false">IF(AND($A183="",$B183="",$C183="",$D183="",$E183="",$F183="",$G183="",$H183=""),"",IF(NOT($S183=""),"Check inputs",IF($B183=0,"No fee entered",IF($N183&lt;0,"Losing money on entered costs",IF(ROUND($N183*100,0)*10000&lt;TargetH*ROUND($B183*100,0),"Below your target","Meets your target")))))</f>
        <v/>
      </c>
      <c r="S183" s="22" t="str">
        <f aca="false">IF(AND($A183="",$B183="",$C183="",$D183="",$E183="",$F183="",$G183="",$H183=""),"",TRIM(IF($A183="","Customer/site label is missing. ","")&amp;IF($B183="","Monthly fee is missing. ",IF(NOT(ISNUMBER($B183)),"Monthly fee must be a number. ",IF($B183&lt;0,"Monthly fee can't be negative. ",IF(ROUND($B183,2)&lt;&gt;$B183,"Monthly fee: use up to 2 decimal places. ",IF($B183&gt;99999.99,"Monthly fee: use 99,999.99 or less. ","")))))&amp;IF($C183="","Visits per month is missing. ",IF(NOT(ISNUMBER($C183)),"Visits per month must be a number. ",IF($C183&lt;0,"Visits per month can't be negative. ",IF(ROUND($C183,3)&lt;&gt;$C183,"Visits per month: use up to 3 decimal places. ",IF($C183=0,"Visits per month must be more than 0. ",IF($C183&gt;31,"Visits per month: use 31 or less. ",""))))))&amp;IF($D183="","Service minutes per visit is missing. ",IF(NOT(ISNUMBER($D183)),"Service minutes per visit must be a number. ",IF($D183&lt;0,"Service minutes per visit can't be negative. ",IF(ROUND($D183,2)&lt;&gt;$D183,"Service minutes per visit: use up to 2 decimal places. ",IF($D183=0,"Service minutes per visit must be more than 0. ",IF($D183&gt;600,"Service minutes per visit: use 600 or less. ",""))))))&amp;IF($E183="","Drive minutes per visit is missing. ",IF(NOT(ISNUMBER($E183)),"Drive minutes per visit must be a number. ",IF($E183&lt;0,"Drive minutes per visit can't be negative. ",IF(ROUND($E183,2)&lt;&gt;$E183,"Drive minutes per visit: use up to 2 decimal places. ",IF($E183&gt;600,"Drive minutes per visit: use 600 or less. ","")))))&amp;IF($F183="","Drive miles per visit is missing. ",IF(NOT(ISNUMBER($F183)),"Drive miles per visit must be a number. ",IF($F183&lt;0,"Drive miles per visit can't be negative. ",IF(ROUND($F183,2)&lt;&gt;$F183,"Drive miles per visit: use up to 2 decimal places. ",IF($F183&gt;1000,"Drive miles per visit: use 1,000 or less. ","")))))&amp;IF($G183="","Chemicals per visit is missing. ",IF(NOT(ISNUMBER($G183)),"Chemicals per visit must be a number. ",IF($G183&lt;0,"Chemicals per visit can't be negative. ",IF(ROUND($G183,2)&lt;&gt;$G183,"Chemicals per visit: use up to 2 decimal places. ",IF($G183&gt;9999.99,"Chemicals per visit: use 9,999.99 or less. ","")))))&amp;IF($H183="","Other monthly costs is missing. ",IF(NOT(ISNUMBER($H183)),"Other monthly costs must be a number. ",IF($H183&lt;0,"Other monthly costs can't be negative. ",IF(ROUND($H183,2)&lt;&gt;$H183,"Other monthly costs: use up to 2 decimal places. ",IF($H183&gt;99999.99,"Other monthly costs: use 99,999.99 or less. ","")))))&amp;IF(SettingsOK,"","Settings incomplete.")))</f>
        <v/>
      </c>
      <c r="T183" s="23" t="str">
        <f aca="false">IF(AND($A183="",$B183="",$C183="",$D183="",$E183="",$F183="",$G183="",$H183=""),"",IF(Review!$B$5="Check inputs",IF($R183="Check inputs",ROW(),""),IF($R183="Check inputs",IF(Review!$B$5="All accounts",-2000000000000000+ROW(),""),IF(AND(Review!$B$5="Needs review",$R183="Meets your target"),"",IF($R183="No fee entered",-1000000000000000+ROW(),$N183/$B183+ROW()/1000000000)))))</f>
        <v/>
      </c>
    </row>
    <row r="184" customFormat="false" ht="15" hidden="false" customHeight="false" outlineLevel="0" collapsed="false">
      <c r="A184" s="14"/>
      <c r="B184" s="15"/>
      <c r="C184" s="16"/>
      <c r="D184" s="14"/>
      <c r="E184" s="14"/>
      <c r="F184" s="14"/>
      <c r="G184" s="15"/>
      <c r="H184" s="15"/>
      <c r="I184" s="17" t="str">
        <f aca="false">IF(OR(AND($A184="",$B184="",$C184="",$D184="",$E184="",$F184="",$G184="",$H184=""),NOT($S184="")),"",ROUND($C184*($D184+$E184)/60,4))</f>
        <v/>
      </c>
      <c r="J184" s="18" t="str">
        <f aca="false">IF(OR(AND($A184="",$B184="",$C184="",$D184="",$E184="",$F184="",$G184="",$H184=""),NOT($S184="")),"",ROUND(ROUND($C184*($D184+$E184)/60*$B$5,9),2))</f>
        <v/>
      </c>
      <c r="K184" s="18" t="str">
        <f aca="false">IF(OR(AND($A184="",$B184="",$C184="",$D184="",$E184="",$F184="",$G184="",$H184=""),NOT($S184="")),"",ROUND(ROUND($C184*$F184*$B$6,9),2))</f>
        <v/>
      </c>
      <c r="L184" s="18" t="str">
        <f aca="false">IF(OR(AND($A184="",$B184="",$C184="",$D184="",$E184="",$F184="",$G184="",$H184=""),NOT($S184="")),"",ROUND(ROUND($C184*$G184,9),2))</f>
        <v/>
      </c>
      <c r="M184" s="19" t="str">
        <f aca="false">IF(OR(AND($A184="",$B184="",$C184="",$D184="",$E184="",$F184="",$G184="",$H184=""),NOT($S184="")),"",ROUND($J184+$K184+$L184+$H184,2))</f>
        <v/>
      </c>
      <c r="N184" s="19" t="str">
        <f aca="false">IF(OR(AND($A184="",$B184="",$C184="",$D184="",$E184="",$F184="",$G184="",$H184=""),NOT($S184="")),"",ROUND($B184-$M184,2))</f>
        <v/>
      </c>
      <c r="O184" s="20" t="str">
        <f aca="false">IF(OR(AND($A184="",$B184="",$C184="",$D184="",$E184="",$F184="",$G184="",$H184=""),NOT($S184="")),"",IF($B184=0,"n/a",INT(ROUND($N184/$B184*10000,6))/10000))</f>
        <v/>
      </c>
      <c r="P184" s="18" t="str">
        <f aca="false">IF(OR(AND($A184="",$B184="",$C184="",$D184="",$E184="",$F184="",$G184="",$H184=""),NOT($S184="")),"",ROUNDUP(ROUND($M184*10000/(10000-TargetH),9),2))</f>
        <v/>
      </c>
      <c r="Q184" s="18" t="str">
        <f aca="false">IF(OR(AND($A184="",$B184="",$C184="",$D184="",$E184="",$F184="",$G184="",$H184=""),NOT($S184="")),"",MAX(0,ROUND($P184-$B184,2)))</f>
        <v/>
      </c>
      <c r="R184" s="21" t="str">
        <f aca="false">IF(AND($A184="",$B184="",$C184="",$D184="",$E184="",$F184="",$G184="",$H184=""),"",IF(NOT($S184=""),"Check inputs",IF($B184=0,"No fee entered",IF($N184&lt;0,"Losing money on entered costs",IF(ROUND($N184*100,0)*10000&lt;TargetH*ROUND($B184*100,0),"Below your target","Meets your target")))))</f>
        <v/>
      </c>
      <c r="S184" s="22" t="str">
        <f aca="false">IF(AND($A184="",$B184="",$C184="",$D184="",$E184="",$F184="",$G184="",$H184=""),"",TRIM(IF($A184="","Customer/site label is missing. ","")&amp;IF($B184="","Monthly fee is missing. ",IF(NOT(ISNUMBER($B184)),"Monthly fee must be a number. ",IF($B184&lt;0,"Monthly fee can't be negative. ",IF(ROUND($B184,2)&lt;&gt;$B184,"Monthly fee: use up to 2 decimal places. ",IF($B184&gt;99999.99,"Monthly fee: use 99,999.99 or less. ","")))))&amp;IF($C184="","Visits per month is missing. ",IF(NOT(ISNUMBER($C184)),"Visits per month must be a number. ",IF($C184&lt;0,"Visits per month can't be negative. ",IF(ROUND($C184,3)&lt;&gt;$C184,"Visits per month: use up to 3 decimal places. ",IF($C184=0,"Visits per month must be more than 0. ",IF($C184&gt;31,"Visits per month: use 31 or less. ",""))))))&amp;IF($D184="","Service minutes per visit is missing. ",IF(NOT(ISNUMBER($D184)),"Service minutes per visit must be a number. ",IF($D184&lt;0,"Service minutes per visit can't be negative. ",IF(ROUND($D184,2)&lt;&gt;$D184,"Service minutes per visit: use up to 2 decimal places. ",IF($D184=0,"Service minutes per visit must be more than 0. ",IF($D184&gt;600,"Service minutes per visit: use 600 or less. ",""))))))&amp;IF($E184="","Drive minutes per visit is missing. ",IF(NOT(ISNUMBER($E184)),"Drive minutes per visit must be a number. ",IF($E184&lt;0,"Drive minutes per visit can't be negative. ",IF(ROUND($E184,2)&lt;&gt;$E184,"Drive minutes per visit: use up to 2 decimal places. ",IF($E184&gt;600,"Drive minutes per visit: use 600 or less. ","")))))&amp;IF($F184="","Drive miles per visit is missing. ",IF(NOT(ISNUMBER($F184)),"Drive miles per visit must be a number. ",IF($F184&lt;0,"Drive miles per visit can't be negative. ",IF(ROUND($F184,2)&lt;&gt;$F184,"Drive miles per visit: use up to 2 decimal places. ",IF($F184&gt;1000,"Drive miles per visit: use 1,000 or less. ","")))))&amp;IF($G184="","Chemicals per visit is missing. ",IF(NOT(ISNUMBER($G184)),"Chemicals per visit must be a number. ",IF($G184&lt;0,"Chemicals per visit can't be negative. ",IF(ROUND($G184,2)&lt;&gt;$G184,"Chemicals per visit: use up to 2 decimal places. ",IF($G184&gt;9999.99,"Chemicals per visit: use 9,999.99 or less. ","")))))&amp;IF($H184="","Other monthly costs is missing. ",IF(NOT(ISNUMBER($H184)),"Other monthly costs must be a number. ",IF($H184&lt;0,"Other monthly costs can't be negative. ",IF(ROUND($H184,2)&lt;&gt;$H184,"Other monthly costs: use up to 2 decimal places. ",IF($H184&gt;99999.99,"Other monthly costs: use 99,999.99 or less. ","")))))&amp;IF(SettingsOK,"","Settings incomplete.")))</f>
        <v/>
      </c>
      <c r="T184" s="23" t="str">
        <f aca="false">IF(AND($A184="",$B184="",$C184="",$D184="",$E184="",$F184="",$G184="",$H184=""),"",IF(Review!$B$5="Check inputs",IF($R184="Check inputs",ROW(),""),IF($R184="Check inputs",IF(Review!$B$5="All accounts",-2000000000000000+ROW(),""),IF(AND(Review!$B$5="Needs review",$R184="Meets your target"),"",IF($R184="No fee entered",-1000000000000000+ROW(),$N184/$B184+ROW()/1000000000)))))</f>
        <v/>
      </c>
    </row>
    <row r="185" customFormat="false" ht="15" hidden="false" customHeight="false" outlineLevel="0" collapsed="false">
      <c r="A185" s="14"/>
      <c r="B185" s="15"/>
      <c r="C185" s="16"/>
      <c r="D185" s="14"/>
      <c r="E185" s="14"/>
      <c r="F185" s="14"/>
      <c r="G185" s="15"/>
      <c r="H185" s="15"/>
      <c r="I185" s="17" t="str">
        <f aca="false">IF(OR(AND($A185="",$B185="",$C185="",$D185="",$E185="",$F185="",$G185="",$H185=""),NOT($S185="")),"",ROUND($C185*($D185+$E185)/60,4))</f>
        <v/>
      </c>
      <c r="J185" s="18" t="str">
        <f aca="false">IF(OR(AND($A185="",$B185="",$C185="",$D185="",$E185="",$F185="",$G185="",$H185=""),NOT($S185="")),"",ROUND(ROUND($C185*($D185+$E185)/60*$B$5,9),2))</f>
        <v/>
      </c>
      <c r="K185" s="18" t="str">
        <f aca="false">IF(OR(AND($A185="",$B185="",$C185="",$D185="",$E185="",$F185="",$G185="",$H185=""),NOT($S185="")),"",ROUND(ROUND($C185*$F185*$B$6,9),2))</f>
        <v/>
      </c>
      <c r="L185" s="18" t="str">
        <f aca="false">IF(OR(AND($A185="",$B185="",$C185="",$D185="",$E185="",$F185="",$G185="",$H185=""),NOT($S185="")),"",ROUND(ROUND($C185*$G185,9),2))</f>
        <v/>
      </c>
      <c r="M185" s="19" t="str">
        <f aca="false">IF(OR(AND($A185="",$B185="",$C185="",$D185="",$E185="",$F185="",$G185="",$H185=""),NOT($S185="")),"",ROUND($J185+$K185+$L185+$H185,2))</f>
        <v/>
      </c>
      <c r="N185" s="19" t="str">
        <f aca="false">IF(OR(AND($A185="",$B185="",$C185="",$D185="",$E185="",$F185="",$G185="",$H185=""),NOT($S185="")),"",ROUND($B185-$M185,2))</f>
        <v/>
      </c>
      <c r="O185" s="20" t="str">
        <f aca="false">IF(OR(AND($A185="",$B185="",$C185="",$D185="",$E185="",$F185="",$G185="",$H185=""),NOT($S185="")),"",IF($B185=0,"n/a",INT(ROUND($N185/$B185*10000,6))/10000))</f>
        <v/>
      </c>
      <c r="P185" s="18" t="str">
        <f aca="false">IF(OR(AND($A185="",$B185="",$C185="",$D185="",$E185="",$F185="",$G185="",$H185=""),NOT($S185="")),"",ROUNDUP(ROUND($M185*10000/(10000-TargetH),9),2))</f>
        <v/>
      </c>
      <c r="Q185" s="18" t="str">
        <f aca="false">IF(OR(AND($A185="",$B185="",$C185="",$D185="",$E185="",$F185="",$G185="",$H185=""),NOT($S185="")),"",MAX(0,ROUND($P185-$B185,2)))</f>
        <v/>
      </c>
      <c r="R185" s="21" t="str">
        <f aca="false">IF(AND($A185="",$B185="",$C185="",$D185="",$E185="",$F185="",$G185="",$H185=""),"",IF(NOT($S185=""),"Check inputs",IF($B185=0,"No fee entered",IF($N185&lt;0,"Losing money on entered costs",IF(ROUND($N185*100,0)*10000&lt;TargetH*ROUND($B185*100,0),"Below your target","Meets your target")))))</f>
        <v/>
      </c>
      <c r="S185" s="22" t="str">
        <f aca="false">IF(AND($A185="",$B185="",$C185="",$D185="",$E185="",$F185="",$G185="",$H185=""),"",TRIM(IF($A185="","Customer/site label is missing. ","")&amp;IF($B185="","Monthly fee is missing. ",IF(NOT(ISNUMBER($B185)),"Monthly fee must be a number. ",IF($B185&lt;0,"Monthly fee can't be negative. ",IF(ROUND($B185,2)&lt;&gt;$B185,"Monthly fee: use up to 2 decimal places. ",IF($B185&gt;99999.99,"Monthly fee: use 99,999.99 or less. ","")))))&amp;IF($C185="","Visits per month is missing. ",IF(NOT(ISNUMBER($C185)),"Visits per month must be a number. ",IF($C185&lt;0,"Visits per month can't be negative. ",IF(ROUND($C185,3)&lt;&gt;$C185,"Visits per month: use up to 3 decimal places. ",IF($C185=0,"Visits per month must be more than 0. ",IF($C185&gt;31,"Visits per month: use 31 or less. ",""))))))&amp;IF($D185="","Service minutes per visit is missing. ",IF(NOT(ISNUMBER($D185)),"Service minutes per visit must be a number. ",IF($D185&lt;0,"Service minutes per visit can't be negative. ",IF(ROUND($D185,2)&lt;&gt;$D185,"Service minutes per visit: use up to 2 decimal places. ",IF($D185=0,"Service minutes per visit must be more than 0. ",IF($D185&gt;600,"Service minutes per visit: use 600 or less. ",""))))))&amp;IF($E185="","Drive minutes per visit is missing. ",IF(NOT(ISNUMBER($E185)),"Drive minutes per visit must be a number. ",IF($E185&lt;0,"Drive minutes per visit can't be negative. ",IF(ROUND($E185,2)&lt;&gt;$E185,"Drive minutes per visit: use up to 2 decimal places. ",IF($E185&gt;600,"Drive minutes per visit: use 600 or less. ","")))))&amp;IF($F185="","Drive miles per visit is missing. ",IF(NOT(ISNUMBER($F185)),"Drive miles per visit must be a number. ",IF($F185&lt;0,"Drive miles per visit can't be negative. ",IF(ROUND($F185,2)&lt;&gt;$F185,"Drive miles per visit: use up to 2 decimal places. ",IF($F185&gt;1000,"Drive miles per visit: use 1,000 or less. ","")))))&amp;IF($G185="","Chemicals per visit is missing. ",IF(NOT(ISNUMBER($G185)),"Chemicals per visit must be a number. ",IF($G185&lt;0,"Chemicals per visit can't be negative. ",IF(ROUND($G185,2)&lt;&gt;$G185,"Chemicals per visit: use up to 2 decimal places. ",IF($G185&gt;9999.99,"Chemicals per visit: use 9,999.99 or less. ","")))))&amp;IF($H185="","Other monthly costs is missing. ",IF(NOT(ISNUMBER($H185)),"Other monthly costs must be a number. ",IF($H185&lt;0,"Other monthly costs can't be negative. ",IF(ROUND($H185,2)&lt;&gt;$H185,"Other monthly costs: use up to 2 decimal places. ",IF($H185&gt;99999.99,"Other monthly costs: use 99,999.99 or less. ","")))))&amp;IF(SettingsOK,"","Settings incomplete.")))</f>
        <v/>
      </c>
      <c r="T185" s="23" t="str">
        <f aca="false">IF(AND($A185="",$B185="",$C185="",$D185="",$E185="",$F185="",$G185="",$H185=""),"",IF(Review!$B$5="Check inputs",IF($R185="Check inputs",ROW(),""),IF($R185="Check inputs",IF(Review!$B$5="All accounts",-2000000000000000+ROW(),""),IF(AND(Review!$B$5="Needs review",$R185="Meets your target"),"",IF($R185="No fee entered",-1000000000000000+ROW(),$N185/$B185+ROW()/1000000000)))))</f>
        <v/>
      </c>
    </row>
    <row r="186" customFormat="false" ht="15" hidden="false" customHeight="false" outlineLevel="0" collapsed="false">
      <c r="A186" s="14"/>
      <c r="B186" s="15"/>
      <c r="C186" s="16"/>
      <c r="D186" s="14"/>
      <c r="E186" s="14"/>
      <c r="F186" s="14"/>
      <c r="G186" s="15"/>
      <c r="H186" s="15"/>
      <c r="I186" s="17" t="str">
        <f aca="false">IF(OR(AND($A186="",$B186="",$C186="",$D186="",$E186="",$F186="",$G186="",$H186=""),NOT($S186="")),"",ROUND($C186*($D186+$E186)/60,4))</f>
        <v/>
      </c>
      <c r="J186" s="18" t="str">
        <f aca="false">IF(OR(AND($A186="",$B186="",$C186="",$D186="",$E186="",$F186="",$G186="",$H186=""),NOT($S186="")),"",ROUND(ROUND($C186*($D186+$E186)/60*$B$5,9),2))</f>
        <v/>
      </c>
      <c r="K186" s="18" t="str">
        <f aca="false">IF(OR(AND($A186="",$B186="",$C186="",$D186="",$E186="",$F186="",$G186="",$H186=""),NOT($S186="")),"",ROUND(ROUND($C186*$F186*$B$6,9),2))</f>
        <v/>
      </c>
      <c r="L186" s="18" t="str">
        <f aca="false">IF(OR(AND($A186="",$B186="",$C186="",$D186="",$E186="",$F186="",$G186="",$H186=""),NOT($S186="")),"",ROUND(ROUND($C186*$G186,9),2))</f>
        <v/>
      </c>
      <c r="M186" s="19" t="str">
        <f aca="false">IF(OR(AND($A186="",$B186="",$C186="",$D186="",$E186="",$F186="",$G186="",$H186=""),NOT($S186="")),"",ROUND($J186+$K186+$L186+$H186,2))</f>
        <v/>
      </c>
      <c r="N186" s="19" t="str">
        <f aca="false">IF(OR(AND($A186="",$B186="",$C186="",$D186="",$E186="",$F186="",$G186="",$H186=""),NOT($S186="")),"",ROUND($B186-$M186,2))</f>
        <v/>
      </c>
      <c r="O186" s="20" t="str">
        <f aca="false">IF(OR(AND($A186="",$B186="",$C186="",$D186="",$E186="",$F186="",$G186="",$H186=""),NOT($S186="")),"",IF($B186=0,"n/a",INT(ROUND($N186/$B186*10000,6))/10000))</f>
        <v/>
      </c>
      <c r="P186" s="18" t="str">
        <f aca="false">IF(OR(AND($A186="",$B186="",$C186="",$D186="",$E186="",$F186="",$G186="",$H186=""),NOT($S186="")),"",ROUNDUP(ROUND($M186*10000/(10000-TargetH),9),2))</f>
        <v/>
      </c>
      <c r="Q186" s="18" t="str">
        <f aca="false">IF(OR(AND($A186="",$B186="",$C186="",$D186="",$E186="",$F186="",$G186="",$H186=""),NOT($S186="")),"",MAX(0,ROUND($P186-$B186,2)))</f>
        <v/>
      </c>
      <c r="R186" s="21" t="str">
        <f aca="false">IF(AND($A186="",$B186="",$C186="",$D186="",$E186="",$F186="",$G186="",$H186=""),"",IF(NOT($S186=""),"Check inputs",IF($B186=0,"No fee entered",IF($N186&lt;0,"Losing money on entered costs",IF(ROUND($N186*100,0)*10000&lt;TargetH*ROUND($B186*100,0),"Below your target","Meets your target")))))</f>
        <v/>
      </c>
      <c r="S186" s="22" t="str">
        <f aca="false">IF(AND($A186="",$B186="",$C186="",$D186="",$E186="",$F186="",$G186="",$H186=""),"",TRIM(IF($A186="","Customer/site label is missing. ","")&amp;IF($B186="","Monthly fee is missing. ",IF(NOT(ISNUMBER($B186)),"Monthly fee must be a number. ",IF($B186&lt;0,"Monthly fee can't be negative. ",IF(ROUND($B186,2)&lt;&gt;$B186,"Monthly fee: use up to 2 decimal places. ",IF($B186&gt;99999.99,"Monthly fee: use 99,999.99 or less. ","")))))&amp;IF($C186="","Visits per month is missing. ",IF(NOT(ISNUMBER($C186)),"Visits per month must be a number. ",IF($C186&lt;0,"Visits per month can't be negative. ",IF(ROUND($C186,3)&lt;&gt;$C186,"Visits per month: use up to 3 decimal places. ",IF($C186=0,"Visits per month must be more than 0. ",IF($C186&gt;31,"Visits per month: use 31 or less. ",""))))))&amp;IF($D186="","Service minutes per visit is missing. ",IF(NOT(ISNUMBER($D186)),"Service minutes per visit must be a number. ",IF($D186&lt;0,"Service minutes per visit can't be negative. ",IF(ROUND($D186,2)&lt;&gt;$D186,"Service minutes per visit: use up to 2 decimal places. ",IF($D186=0,"Service minutes per visit must be more than 0. ",IF($D186&gt;600,"Service minutes per visit: use 600 or less. ",""))))))&amp;IF($E186="","Drive minutes per visit is missing. ",IF(NOT(ISNUMBER($E186)),"Drive minutes per visit must be a number. ",IF($E186&lt;0,"Drive minutes per visit can't be negative. ",IF(ROUND($E186,2)&lt;&gt;$E186,"Drive minutes per visit: use up to 2 decimal places. ",IF($E186&gt;600,"Drive minutes per visit: use 600 or less. ","")))))&amp;IF($F186="","Drive miles per visit is missing. ",IF(NOT(ISNUMBER($F186)),"Drive miles per visit must be a number. ",IF($F186&lt;0,"Drive miles per visit can't be negative. ",IF(ROUND($F186,2)&lt;&gt;$F186,"Drive miles per visit: use up to 2 decimal places. ",IF($F186&gt;1000,"Drive miles per visit: use 1,000 or less. ","")))))&amp;IF($G186="","Chemicals per visit is missing. ",IF(NOT(ISNUMBER($G186)),"Chemicals per visit must be a number. ",IF($G186&lt;0,"Chemicals per visit can't be negative. ",IF(ROUND($G186,2)&lt;&gt;$G186,"Chemicals per visit: use up to 2 decimal places. ",IF($G186&gt;9999.99,"Chemicals per visit: use 9,999.99 or less. ","")))))&amp;IF($H186="","Other monthly costs is missing. ",IF(NOT(ISNUMBER($H186)),"Other monthly costs must be a number. ",IF($H186&lt;0,"Other monthly costs can't be negative. ",IF(ROUND($H186,2)&lt;&gt;$H186,"Other monthly costs: use up to 2 decimal places. ",IF($H186&gt;99999.99,"Other monthly costs: use 99,999.99 or less. ","")))))&amp;IF(SettingsOK,"","Settings incomplete.")))</f>
        <v/>
      </c>
      <c r="T186" s="23" t="str">
        <f aca="false">IF(AND($A186="",$B186="",$C186="",$D186="",$E186="",$F186="",$G186="",$H186=""),"",IF(Review!$B$5="Check inputs",IF($R186="Check inputs",ROW(),""),IF($R186="Check inputs",IF(Review!$B$5="All accounts",-2000000000000000+ROW(),""),IF(AND(Review!$B$5="Needs review",$R186="Meets your target"),"",IF($R186="No fee entered",-1000000000000000+ROW(),$N186/$B186+ROW()/1000000000)))))</f>
        <v/>
      </c>
    </row>
    <row r="187" customFormat="false" ht="15" hidden="false" customHeight="false" outlineLevel="0" collapsed="false">
      <c r="A187" s="14"/>
      <c r="B187" s="15"/>
      <c r="C187" s="16"/>
      <c r="D187" s="14"/>
      <c r="E187" s="14"/>
      <c r="F187" s="14"/>
      <c r="G187" s="15"/>
      <c r="H187" s="15"/>
      <c r="I187" s="17" t="str">
        <f aca="false">IF(OR(AND($A187="",$B187="",$C187="",$D187="",$E187="",$F187="",$G187="",$H187=""),NOT($S187="")),"",ROUND($C187*($D187+$E187)/60,4))</f>
        <v/>
      </c>
      <c r="J187" s="18" t="str">
        <f aca="false">IF(OR(AND($A187="",$B187="",$C187="",$D187="",$E187="",$F187="",$G187="",$H187=""),NOT($S187="")),"",ROUND(ROUND($C187*($D187+$E187)/60*$B$5,9),2))</f>
        <v/>
      </c>
      <c r="K187" s="18" t="str">
        <f aca="false">IF(OR(AND($A187="",$B187="",$C187="",$D187="",$E187="",$F187="",$G187="",$H187=""),NOT($S187="")),"",ROUND(ROUND($C187*$F187*$B$6,9),2))</f>
        <v/>
      </c>
      <c r="L187" s="18" t="str">
        <f aca="false">IF(OR(AND($A187="",$B187="",$C187="",$D187="",$E187="",$F187="",$G187="",$H187=""),NOT($S187="")),"",ROUND(ROUND($C187*$G187,9),2))</f>
        <v/>
      </c>
      <c r="M187" s="19" t="str">
        <f aca="false">IF(OR(AND($A187="",$B187="",$C187="",$D187="",$E187="",$F187="",$G187="",$H187=""),NOT($S187="")),"",ROUND($J187+$K187+$L187+$H187,2))</f>
        <v/>
      </c>
      <c r="N187" s="19" t="str">
        <f aca="false">IF(OR(AND($A187="",$B187="",$C187="",$D187="",$E187="",$F187="",$G187="",$H187=""),NOT($S187="")),"",ROUND($B187-$M187,2))</f>
        <v/>
      </c>
      <c r="O187" s="20" t="str">
        <f aca="false">IF(OR(AND($A187="",$B187="",$C187="",$D187="",$E187="",$F187="",$G187="",$H187=""),NOT($S187="")),"",IF($B187=0,"n/a",INT(ROUND($N187/$B187*10000,6))/10000))</f>
        <v/>
      </c>
      <c r="P187" s="18" t="str">
        <f aca="false">IF(OR(AND($A187="",$B187="",$C187="",$D187="",$E187="",$F187="",$G187="",$H187=""),NOT($S187="")),"",ROUNDUP(ROUND($M187*10000/(10000-TargetH),9),2))</f>
        <v/>
      </c>
      <c r="Q187" s="18" t="str">
        <f aca="false">IF(OR(AND($A187="",$B187="",$C187="",$D187="",$E187="",$F187="",$G187="",$H187=""),NOT($S187="")),"",MAX(0,ROUND($P187-$B187,2)))</f>
        <v/>
      </c>
      <c r="R187" s="21" t="str">
        <f aca="false">IF(AND($A187="",$B187="",$C187="",$D187="",$E187="",$F187="",$G187="",$H187=""),"",IF(NOT($S187=""),"Check inputs",IF($B187=0,"No fee entered",IF($N187&lt;0,"Losing money on entered costs",IF(ROUND($N187*100,0)*10000&lt;TargetH*ROUND($B187*100,0),"Below your target","Meets your target")))))</f>
        <v/>
      </c>
      <c r="S187" s="22" t="str">
        <f aca="false">IF(AND($A187="",$B187="",$C187="",$D187="",$E187="",$F187="",$G187="",$H187=""),"",TRIM(IF($A187="","Customer/site label is missing. ","")&amp;IF($B187="","Monthly fee is missing. ",IF(NOT(ISNUMBER($B187)),"Monthly fee must be a number. ",IF($B187&lt;0,"Monthly fee can't be negative. ",IF(ROUND($B187,2)&lt;&gt;$B187,"Monthly fee: use up to 2 decimal places. ",IF($B187&gt;99999.99,"Monthly fee: use 99,999.99 or less. ","")))))&amp;IF($C187="","Visits per month is missing. ",IF(NOT(ISNUMBER($C187)),"Visits per month must be a number. ",IF($C187&lt;0,"Visits per month can't be negative. ",IF(ROUND($C187,3)&lt;&gt;$C187,"Visits per month: use up to 3 decimal places. ",IF($C187=0,"Visits per month must be more than 0. ",IF($C187&gt;31,"Visits per month: use 31 or less. ",""))))))&amp;IF($D187="","Service minutes per visit is missing. ",IF(NOT(ISNUMBER($D187)),"Service minutes per visit must be a number. ",IF($D187&lt;0,"Service minutes per visit can't be negative. ",IF(ROUND($D187,2)&lt;&gt;$D187,"Service minutes per visit: use up to 2 decimal places. ",IF($D187=0,"Service minutes per visit must be more than 0. ",IF($D187&gt;600,"Service minutes per visit: use 600 or less. ",""))))))&amp;IF($E187="","Drive minutes per visit is missing. ",IF(NOT(ISNUMBER($E187)),"Drive minutes per visit must be a number. ",IF($E187&lt;0,"Drive minutes per visit can't be negative. ",IF(ROUND($E187,2)&lt;&gt;$E187,"Drive minutes per visit: use up to 2 decimal places. ",IF($E187&gt;600,"Drive minutes per visit: use 600 or less. ","")))))&amp;IF($F187="","Drive miles per visit is missing. ",IF(NOT(ISNUMBER($F187)),"Drive miles per visit must be a number. ",IF($F187&lt;0,"Drive miles per visit can't be negative. ",IF(ROUND($F187,2)&lt;&gt;$F187,"Drive miles per visit: use up to 2 decimal places. ",IF($F187&gt;1000,"Drive miles per visit: use 1,000 or less. ","")))))&amp;IF($G187="","Chemicals per visit is missing. ",IF(NOT(ISNUMBER($G187)),"Chemicals per visit must be a number. ",IF($G187&lt;0,"Chemicals per visit can't be negative. ",IF(ROUND($G187,2)&lt;&gt;$G187,"Chemicals per visit: use up to 2 decimal places. ",IF($G187&gt;9999.99,"Chemicals per visit: use 9,999.99 or less. ","")))))&amp;IF($H187="","Other monthly costs is missing. ",IF(NOT(ISNUMBER($H187)),"Other monthly costs must be a number. ",IF($H187&lt;0,"Other monthly costs can't be negative. ",IF(ROUND($H187,2)&lt;&gt;$H187,"Other monthly costs: use up to 2 decimal places. ",IF($H187&gt;99999.99,"Other monthly costs: use 99,999.99 or less. ","")))))&amp;IF(SettingsOK,"","Settings incomplete.")))</f>
        <v/>
      </c>
      <c r="T187" s="23" t="str">
        <f aca="false">IF(AND($A187="",$B187="",$C187="",$D187="",$E187="",$F187="",$G187="",$H187=""),"",IF(Review!$B$5="Check inputs",IF($R187="Check inputs",ROW(),""),IF($R187="Check inputs",IF(Review!$B$5="All accounts",-2000000000000000+ROW(),""),IF(AND(Review!$B$5="Needs review",$R187="Meets your target"),"",IF($R187="No fee entered",-1000000000000000+ROW(),$N187/$B187+ROW()/1000000000)))))</f>
        <v/>
      </c>
    </row>
    <row r="188" customFormat="false" ht="15" hidden="false" customHeight="false" outlineLevel="0" collapsed="false">
      <c r="A188" s="14"/>
      <c r="B188" s="15"/>
      <c r="C188" s="16"/>
      <c r="D188" s="14"/>
      <c r="E188" s="14"/>
      <c r="F188" s="14"/>
      <c r="G188" s="15"/>
      <c r="H188" s="15"/>
      <c r="I188" s="17" t="str">
        <f aca="false">IF(OR(AND($A188="",$B188="",$C188="",$D188="",$E188="",$F188="",$G188="",$H188=""),NOT($S188="")),"",ROUND($C188*($D188+$E188)/60,4))</f>
        <v/>
      </c>
      <c r="J188" s="18" t="str">
        <f aca="false">IF(OR(AND($A188="",$B188="",$C188="",$D188="",$E188="",$F188="",$G188="",$H188=""),NOT($S188="")),"",ROUND(ROUND($C188*($D188+$E188)/60*$B$5,9),2))</f>
        <v/>
      </c>
      <c r="K188" s="18" t="str">
        <f aca="false">IF(OR(AND($A188="",$B188="",$C188="",$D188="",$E188="",$F188="",$G188="",$H188=""),NOT($S188="")),"",ROUND(ROUND($C188*$F188*$B$6,9),2))</f>
        <v/>
      </c>
      <c r="L188" s="18" t="str">
        <f aca="false">IF(OR(AND($A188="",$B188="",$C188="",$D188="",$E188="",$F188="",$G188="",$H188=""),NOT($S188="")),"",ROUND(ROUND($C188*$G188,9),2))</f>
        <v/>
      </c>
      <c r="M188" s="19" t="str">
        <f aca="false">IF(OR(AND($A188="",$B188="",$C188="",$D188="",$E188="",$F188="",$G188="",$H188=""),NOT($S188="")),"",ROUND($J188+$K188+$L188+$H188,2))</f>
        <v/>
      </c>
      <c r="N188" s="19" t="str">
        <f aca="false">IF(OR(AND($A188="",$B188="",$C188="",$D188="",$E188="",$F188="",$G188="",$H188=""),NOT($S188="")),"",ROUND($B188-$M188,2))</f>
        <v/>
      </c>
      <c r="O188" s="20" t="str">
        <f aca="false">IF(OR(AND($A188="",$B188="",$C188="",$D188="",$E188="",$F188="",$G188="",$H188=""),NOT($S188="")),"",IF($B188=0,"n/a",INT(ROUND($N188/$B188*10000,6))/10000))</f>
        <v/>
      </c>
      <c r="P188" s="18" t="str">
        <f aca="false">IF(OR(AND($A188="",$B188="",$C188="",$D188="",$E188="",$F188="",$G188="",$H188=""),NOT($S188="")),"",ROUNDUP(ROUND($M188*10000/(10000-TargetH),9),2))</f>
        <v/>
      </c>
      <c r="Q188" s="18" t="str">
        <f aca="false">IF(OR(AND($A188="",$B188="",$C188="",$D188="",$E188="",$F188="",$G188="",$H188=""),NOT($S188="")),"",MAX(0,ROUND($P188-$B188,2)))</f>
        <v/>
      </c>
      <c r="R188" s="21" t="str">
        <f aca="false">IF(AND($A188="",$B188="",$C188="",$D188="",$E188="",$F188="",$G188="",$H188=""),"",IF(NOT($S188=""),"Check inputs",IF($B188=0,"No fee entered",IF($N188&lt;0,"Losing money on entered costs",IF(ROUND($N188*100,0)*10000&lt;TargetH*ROUND($B188*100,0),"Below your target","Meets your target")))))</f>
        <v/>
      </c>
      <c r="S188" s="22" t="str">
        <f aca="false">IF(AND($A188="",$B188="",$C188="",$D188="",$E188="",$F188="",$G188="",$H188=""),"",TRIM(IF($A188="","Customer/site label is missing. ","")&amp;IF($B188="","Monthly fee is missing. ",IF(NOT(ISNUMBER($B188)),"Monthly fee must be a number. ",IF($B188&lt;0,"Monthly fee can't be negative. ",IF(ROUND($B188,2)&lt;&gt;$B188,"Monthly fee: use up to 2 decimal places. ",IF($B188&gt;99999.99,"Monthly fee: use 99,999.99 or less. ","")))))&amp;IF($C188="","Visits per month is missing. ",IF(NOT(ISNUMBER($C188)),"Visits per month must be a number. ",IF($C188&lt;0,"Visits per month can't be negative. ",IF(ROUND($C188,3)&lt;&gt;$C188,"Visits per month: use up to 3 decimal places. ",IF($C188=0,"Visits per month must be more than 0. ",IF($C188&gt;31,"Visits per month: use 31 or less. ",""))))))&amp;IF($D188="","Service minutes per visit is missing. ",IF(NOT(ISNUMBER($D188)),"Service minutes per visit must be a number. ",IF($D188&lt;0,"Service minutes per visit can't be negative. ",IF(ROUND($D188,2)&lt;&gt;$D188,"Service minutes per visit: use up to 2 decimal places. ",IF($D188=0,"Service minutes per visit must be more than 0. ",IF($D188&gt;600,"Service minutes per visit: use 600 or less. ",""))))))&amp;IF($E188="","Drive minutes per visit is missing. ",IF(NOT(ISNUMBER($E188)),"Drive minutes per visit must be a number. ",IF($E188&lt;0,"Drive minutes per visit can't be negative. ",IF(ROUND($E188,2)&lt;&gt;$E188,"Drive minutes per visit: use up to 2 decimal places. ",IF($E188&gt;600,"Drive minutes per visit: use 600 or less. ","")))))&amp;IF($F188="","Drive miles per visit is missing. ",IF(NOT(ISNUMBER($F188)),"Drive miles per visit must be a number. ",IF($F188&lt;0,"Drive miles per visit can't be negative. ",IF(ROUND($F188,2)&lt;&gt;$F188,"Drive miles per visit: use up to 2 decimal places. ",IF($F188&gt;1000,"Drive miles per visit: use 1,000 or less. ","")))))&amp;IF($G188="","Chemicals per visit is missing. ",IF(NOT(ISNUMBER($G188)),"Chemicals per visit must be a number. ",IF($G188&lt;0,"Chemicals per visit can't be negative. ",IF(ROUND($G188,2)&lt;&gt;$G188,"Chemicals per visit: use up to 2 decimal places. ",IF($G188&gt;9999.99,"Chemicals per visit: use 9,999.99 or less. ","")))))&amp;IF($H188="","Other monthly costs is missing. ",IF(NOT(ISNUMBER($H188)),"Other monthly costs must be a number. ",IF($H188&lt;0,"Other monthly costs can't be negative. ",IF(ROUND($H188,2)&lt;&gt;$H188,"Other monthly costs: use up to 2 decimal places. ",IF($H188&gt;99999.99,"Other monthly costs: use 99,999.99 or less. ","")))))&amp;IF(SettingsOK,"","Settings incomplete.")))</f>
        <v/>
      </c>
      <c r="T188" s="23" t="str">
        <f aca="false">IF(AND($A188="",$B188="",$C188="",$D188="",$E188="",$F188="",$G188="",$H188=""),"",IF(Review!$B$5="Check inputs",IF($R188="Check inputs",ROW(),""),IF($R188="Check inputs",IF(Review!$B$5="All accounts",-2000000000000000+ROW(),""),IF(AND(Review!$B$5="Needs review",$R188="Meets your target"),"",IF($R188="No fee entered",-1000000000000000+ROW(),$N188/$B188+ROW()/1000000000)))))</f>
        <v/>
      </c>
    </row>
    <row r="189" customFormat="false" ht="15" hidden="false" customHeight="false" outlineLevel="0" collapsed="false">
      <c r="A189" s="14"/>
      <c r="B189" s="15"/>
      <c r="C189" s="16"/>
      <c r="D189" s="14"/>
      <c r="E189" s="14"/>
      <c r="F189" s="14"/>
      <c r="G189" s="15"/>
      <c r="H189" s="15"/>
      <c r="I189" s="17" t="str">
        <f aca="false">IF(OR(AND($A189="",$B189="",$C189="",$D189="",$E189="",$F189="",$G189="",$H189=""),NOT($S189="")),"",ROUND($C189*($D189+$E189)/60,4))</f>
        <v/>
      </c>
      <c r="J189" s="18" t="str">
        <f aca="false">IF(OR(AND($A189="",$B189="",$C189="",$D189="",$E189="",$F189="",$G189="",$H189=""),NOT($S189="")),"",ROUND(ROUND($C189*($D189+$E189)/60*$B$5,9),2))</f>
        <v/>
      </c>
      <c r="K189" s="18" t="str">
        <f aca="false">IF(OR(AND($A189="",$B189="",$C189="",$D189="",$E189="",$F189="",$G189="",$H189=""),NOT($S189="")),"",ROUND(ROUND($C189*$F189*$B$6,9),2))</f>
        <v/>
      </c>
      <c r="L189" s="18" t="str">
        <f aca="false">IF(OR(AND($A189="",$B189="",$C189="",$D189="",$E189="",$F189="",$G189="",$H189=""),NOT($S189="")),"",ROUND(ROUND($C189*$G189,9),2))</f>
        <v/>
      </c>
      <c r="M189" s="19" t="str">
        <f aca="false">IF(OR(AND($A189="",$B189="",$C189="",$D189="",$E189="",$F189="",$G189="",$H189=""),NOT($S189="")),"",ROUND($J189+$K189+$L189+$H189,2))</f>
        <v/>
      </c>
      <c r="N189" s="19" t="str">
        <f aca="false">IF(OR(AND($A189="",$B189="",$C189="",$D189="",$E189="",$F189="",$G189="",$H189=""),NOT($S189="")),"",ROUND($B189-$M189,2))</f>
        <v/>
      </c>
      <c r="O189" s="20" t="str">
        <f aca="false">IF(OR(AND($A189="",$B189="",$C189="",$D189="",$E189="",$F189="",$G189="",$H189=""),NOT($S189="")),"",IF($B189=0,"n/a",INT(ROUND($N189/$B189*10000,6))/10000))</f>
        <v/>
      </c>
      <c r="P189" s="18" t="str">
        <f aca="false">IF(OR(AND($A189="",$B189="",$C189="",$D189="",$E189="",$F189="",$G189="",$H189=""),NOT($S189="")),"",ROUNDUP(ROUND($M189*10000/(10000-TargetH),9),2))</f>
        <v/>
      </c>
      <c r="Q189" s="18" t="str">
        <f aca="false">IF(OR(AND($A189="",$B189="",$C189="",$D189="",$E189="",$F189="",$G189="",$H189=""),NOT($S189="")),"",MAX(0,ROUND($P189-$B189,2)))</f>
        <v/>
      </c>
      <c r="R189" s="21" t="str">
        <f aca="false">IF(AND($A189="",$B189="",$C189="",$D189="",$E189="",$F189="",$G189="",$H189=""),"",IF(NOT($S189=""),"Check inputs",IF($B189=0,"No fee entered",IF($N189&lt;0,"Losing money on entered costs",IF(ROUND($N189*100,0)*10000&lt;TargetH*ROUND($B189*100,0),"Below your target","Meets your target")))))</f>
        <v/>
      </c>
      <c r="S189" s="22" t="str">
        <f aca="false">IF(AND($A189="",$B189="",$C189="",$D189="",$E189="",$F189="",$G189="",$H189=""),"",TRIM(IF($A189="","Customer/site label is missing. ","")&amp;IF($B189="","Monthly fee is missing. ",IF(NOT(ISNUMBER($B189)),"Monthly fee must be a number. ",IF($B189&lt;0,"Monthly fee can't be negative. ",IF(ROUND($B189,2)&lt;&gt;$B189,"Monthly fee: use up to 2 decimal places. ",IF($B189&gt;99999.99,"Monthly fee: use 99,999.99 or less. ","")))))&amp;IF($C189="","Visits per month is missing. ",IF(NOT(ISNUMBER($C189)),"Visits per month must be a number. ",IF($C189&lt;0,"Visits per month can't be negative. ",IF(ROUND($C189,3)&lt;&gt;$C189,"Visits per month: use up to 3 decimal places. ",IF($C189=0,"Visits per month must be more than 0. ",IF($C189&gt;31,"Visits per month: use 31 or less. ",""))))))&amp;IF($D189="","Service minutes per visit is missing. ",IF(NOT(ISNUMBER($D189)),"Service minutes per visit must be a number. ",IF($D189&lt;0,"Service minutes per visit can't be negative. ",IF(ROUND($D189,2)&lt;&gt;$D189,"Service minutes per visit: use up to 2 decimal places. ",IF($D189=0,"Service minutes per visit must be more than 0. ",IF($D189&gt;600,"Service minutes per visit: use 600 or less. ",""))))))&amp;IF($E189="","Drive minutes per visit is missing. ",IF(NOT(ISNUMBER($E189)),"Drive minutes per visit must be a number. ",IF($E189&lt;0,"Drive minutes per visit can't be negative. ",IF(ROUND($E189,2)&lt;&gt;$E189,"Drive minutes per visit: use up to 2 decimal places. ",IF($E189&gt;600,"Drive minutes per visit: use 600 or less. ","")))))&amp;IF($F189="","Drive miles per visit is missing. ",IF(NOT(ISNUMBER($F189)),"Drive miles per visit must be a number. ",IF($F189&lt;0,"Drive miles per visit can't be negative. ",IF(ROUND($F189,2)&lt;&gt;$F189,"Drive miles per visit: use up to 2 decimal places. ",IF($F189&gt;1000,"Drive miles per visit: use 1,000 or less. ","")))))&amp;IF($G189="","Chemicals per visit is missing. ",IF(NOT(ISNUMBER($G189)),"Chemicals per visit must be a number. ",IF($G189&lt;0,"Chemicals per visit can't be negative. ",IF(ROUND($G189,2)&lt;&gt;$G189,"Chemicals per visit: use up to 2 decimal places. ",IF($G189&gt;9999.99,"Chemicals per visit: use 9,999.99 or less. ","")))))&amp;IF($H189="","Other monthly costs is missing. ",IF(NOT(ISNUMBER($H189)),"Other monthly costs must be a number. ",IF($H189&lt;0,"Other monthly costs can't be negative. ",IF(ROUND($H189,2)&lt;&gt;$H189,"Other monthly costs: use up to 2 decimal places. ",IF($H189&gt;99999.99,"Other monthly costs: use 99,999.99 or less. ","")))))&amp;IF(SettingsOK,"","Settings incomplete.")))</f>
        <v/>
      </c>
      <c r="T189" s="23" t="str">
        <f aca="false">IF(AND($A189="",$B189="",$C189="",$D189="",$E189="",$F189="",$G189="",$H189=""),"",IF(Review!$B$5="Check inputs",IF($R189="Check inputs",ROW(),""),IF($R189="Check inputs",IF(Review!$B$5="All accounts",-2000000000000000+ROW(),""),IF(AND(Review!$B$5="Needs review",$R189="Meets your target"),"",IF($R189="No fee entered",-1000000000000000+ROW(),$N189/$B189+ROW()/1000000000)))))</f>
        <v/>
      </c>
    </row>
    <row r="190" customFormat="false" ht="15" hidden="false" customHeight="false" outlineLevel="0" collapsed="false">
      <c r="A190" s="14"/>
      <c r="B190" s="15"/>
      <c r="C190" s="16"/>
      <c r="D190" s="14"/>
      <c r="E190" s="14"/>
      <c r="F190" s="14"/>
      <c r="G190" s="15"/>
      <c r="H190" s="15"/>
      <c r="I190" s="17" t="str">
        <f aca="false">IF(OR(AND($A190="",$B190="",$C190="",$D190="",$E190="",$F190="",$G190="",$H190=""),NOT($S190="")),"",ROUND($C190*($D190+$E190)/60,4))</f>
        <v/>
      </c>
      <c r="J190" s="18" t="str">
        <f aca="false">IF(OR(AND($A190="",$B190="",$C190="",$D190="",$E190="",$F190="",$G190="",$H190=""),NOT($S190="")),"",ROUND(ROUND($C190*($D190+$E190)/60*$B$5,9),2))</f>
        <v/>
      </c>
      <c r="K190" s="18" t="str">
        <f aca="false">IF(OR(AND($A190="",$B190="",$C190="",$D190="",$E190="",$F190="",$G190="",$H190=""),NOT($S190="")),"",ROUND(ROUND($C190*$F190*$B$6,9),2))</f>
        <v/>
      </c>
      <c r="L190" s="18" t="str">
        <f aca="false">IF(OR(AND($A190="",$B190="",$C190="",$D190="",$E190="",$F190="",$G190="",$H190=""),NOT($S190="")),"",ROUND(ROUND($C190*$G190,9),2))</f>
        <v/>
      </c>
      <c r="M190" s="19" t="str">
        <f aca="false">IF(OR(AND($A190="",$B190="",$C190="",$D190="",$E190="",$F190="",$G190="",$H190=""),NOT($S190="")),"",ROUND($J190+$K190+$L190+$H190,2))</f>
        <v/>
      </c>
      <c r="N190" s="19" t="str">
        <f aca="false">IF(OR(AND($A190="",$B190="",$C190="",$D190="",$E190="",$F190="",$G190="",$H190=""),NOT($S190="")),"",ROUND($B190-$M190,2))</f>
        <v/>
      </c>
      <c r="O190" s="20" t="str">
        <f aca="false">IF(OR(AND($A190="",$B190="",$C190="",$D190="",$E190="",$F190="",$G190="",$H190=""),NOT($S190="")),"",IF($B190=0,"n/a",INT(ROUND($N190/$B190*10000,6))/10000))</f>
        <v/>
      </c>
      <c r="P190" s="18" t="str">
        <f aca="false">IF(OR(AND($A190="",$B190="",$C190="",$D190="",$E190="",$F190="",$G190="",$H190=""),NOT($S190="")),"",ROUNDUP(ROUND($M190*10000/(10000-TargetH),9),2))</f>
        <v/>
      </c>
      <c r="Q190" s="18" t="str">
        <f aca="false">IF(OR(AND($A190="",$B190="",$C190="",$D190="",$E190="",$F190="",$G190="",$H190=""),NOT($S190="")),"",MAX(0,ROUND($P190-$B190,2)))</f>
        <v/>
      </c>
      <c r="R190" s="21" t="str">
        <f aca="false">IF(AND($A190="",$B190="",$C190="",$D190="",$E190="",$F190="",$G190="",$H190=""),"",IF(NOT($S190=""),"Check inputs",IF($B190=0,"No fee entered",IF($N190&lt;0,"Losing money on entered costs",IF(ROUND($N190*100,0)*10000&lt;TargetH*ROUND($B190*100,0),"Below your target","Meets your target")))))</f>
        <v/>
      </c>
      <c r="S190" s="22" t="str">
        <f aca="false">IF(AND($A190="",$B190="",$C190="",$D190="",$E190="",$F190="",$G190="",$H190=""),"",TRIM(IF($A190="","Customer/site label is missing. ","")&amp;IF($B190="","Monthly fee is missing. ",IF(NOT(ISNUMBER($B190)),"Monthly fee must be a number. ",IF($B190&lt;0,"Monthly fee can't be negative. ",IF(ROUND($B190,2)&lt;&gt;$B190,"Monthly fee: use up to 2 decimal places. ",IF($B190&gt;99999.99,"Monthly fee: use 99,999.99 or less. ","")))))&amp;IF($C190="","Visits per month is missing. ",IF(NOT(ISNUMBER($C190)),"Visits per month must be a number. ",IF($C190&lt;0,"Visits per month can't be negative. ",IF(ROUND($C190,3)&lt;&gt;$C190,"Visits per month: use up to 3 decimal places. ",IF($C190=0,"Visits per month must be more than 0. ",IF($C190&gt;31,"Visits per month: use 31 or less. ",""))))))&amp;IF($D190="","Service minutes per visit is missing. ",IF(NOT(ISNUMBER($D190)),"Service minutes per visit must be a number. ",IF($D190&lt;0,"Service minutes per visit can't be negative. ",IF(ROUND($D190,2)&lt;&gt;$D190,"Service minutes per visit: use up to 2 decimal places. ",IF($D190=0,"Service minutes per visit must be more than 0. ",IF($D190&gt;600,"Service minutes per visit: use 600 or less. ",""))))))&amp;IF($E190="","Drive minutes per visit is missing. ",IF(NOT(ISNUMBER($E190)),"Drive minutes per visit must be a number. ",IF($E190&lt;0,"Drive minutes per visit can't be negative. ",IF(ROUND($E190,2)&lt;&gt;$E190,"Drive minutes per visit: use up to 2 decimal places. ",IF($E190&gt;600,"Drive minutes per visit: use 600 or less. ","")))))&amp;IF($F190="","Drive miles per visit is missing. ",IF(NOT(ISNUMBER($F190)),"Drive miles per visit must be a number. ",IF($F190&lt;0,"Drive miles per visit can't be negative. ",IF(ROUND($F190,2)&lt;&gt;$F190,"Drive miles per visit: use up to 2 decimal places. ",IF($F190&gt;1000,"Drive miles per visit: use 1,000 or less. ","")))))&amp;IF($G190="","Chemicals per visit is missing. ",IF(NOT(ISNUMBER($G190)),"Chemicals per visit must be a number. ",IF($G190&lt;0,"Chemicals per visit can't be negative. ",IF(ROUND($G190,2)&lt;&gt;$G190,"Chemicals per visit: use up to 2 decimal places. ",IF($G190&gt;9999.99,"Chemicals per visit: use 9,999.99 or less. ","")))))&amp;IF($H190="","Other monthly costs is missing. ",IF(NOT(ISNUMBER($H190)),"Other monthly costs must be a number. ",IF($H190&lt;0,"Other monthly costs can't be negative. ",IF(ROUND($H190,2)&lt;&gt;$H190,"Other monthly costs: use up to 2 decimal places. ",IF($H190&gt;99999.99,"Other monthly costs: use 99,999.99 or less. ","")))))&amp;IF(SettingsOK,"","Settings incomplete.")))</f>
        <v/>
      </c>
      <c r="T190" s="23" t="str">
        <f aca="false">IF(AND($A190="",$B190="",$C190="",$D190="",$E190="",$F190="",$G190="",$H190=""),"",IF(Review!$B$5="Check inputs",IF($R190="Check inputs",ROW(),""),IF($R190="Check inputs",IF(Review!$B$5="All accounts",-2000000000000000+ROW(),""),IF(AND(Review!$B$5="Needs review",$R190="Meets your target"),"",IF($R190="No fee entered",-1000000000000000+ROW(),$N190/$B190+ROW()/1000000000)))))</f>
        <v/>
      </c>
    </row>
    <row r="191" customFormat="false" ht="15" hidden="false" customHeight="false" outlineLevel="0" collapsed="false">
      <c r="A191" s="14"/>
      <c r="B191" s="15"/>
      <c r="C191" s="16"/>
      <c r="D191" s="14"/>
      <c r="E191" s="14"/>
      <c r="F191" s="14"/>
      <c r="G191" s="15"/>
      <c r="H191" s="15"/>
      <c r="I191" s="17" t="str">
        <f aca="false">IF(OR(AND($A191="",$B191="",$C191="",$D191="",$E191="",$F191="",$G191="",$H191=""),NOT($S191="")),"",ROUND($C191*($D191+$E191)/60,4))</f>
        <v/>
      </c>
      <c r="J191" s="18" t="str">
        <f aca="false">IF(OR(AND($A191="",$B191="",$C191="",$D191="",$E191="",$F191="",$G191="",$H191=""),NOT($S191="")),"",ROUND(ROUND($C191*($D191+$E191)/60*$B$5,9),2))</f>
        <v/>
      </c>
      <c r="K191" s="18" t="str">
        <f aca="false">IF(OR(AND($A191="",$B191="",$C191="",$D191="",$E191="",$F191="",$G191="",$H191=""),NOT($S191="")),"",ROUND(ROUND($C191*$F191*$B$6,9),2))</f>
        <v/>
      </c>
      <c r="L191" s="18" t="str">
        <f aca="false">IF(OR(AND($A191="",$B191="",$C191="",$D191="",$E191="",$F191="",$G191="",$H191=""),NOT($S191="")),"",ROUND(ROUND($C191*$G191,9),2))</f>
        <v/>
      </c>
      <c r="M191" s="19" t="str">
        <f aca="false">IF(OR(AND($A191="",$B191="",$C191="",$D191="",$E191="",$F191="",$G191="",$H191=""),NOT($S191="")),"",ROUND($J191+$K191+$L191+$H191,2))</f>
        <v/>
      </c>
      <c r="N191" s="19" t="str">
        <f aca="false">IF(OR(AND($A191="",$B191="",$C191="",$D191="",$E191="",$F191="",$G191="",$H191=""),NOT($S191="")),"",ROUND($B191-$M191,2))</f>
        <v/>
      </c>
      <c r="O191" s="20" t="str">
        <f aca="false">IF(OR(AND($A191="",$B191="",$C191="",$D191="",$E191="",$F191="",$G191="",$H191=""),NOT($S191="")),"",IF($B191=0,"n/a",INT(ROUND($N191/$B191*10000,6))/10000))</f>
        <v/>
      </c>
      <c r="P191" s="18" t="str">
        <f aca="false">IF(OR(AND($A191="",$B191="",$C191="",$D191="",$E191="",$F191="",$G191="",$H191=""),NOT($S191="")),"",ROUNDUP(ROUND($M191*10000/(10000-TargetH),9),2))</f>
        <v/>
      </c>
      <c r="Q191" s="18" t="str">
        <f aca="false">IF(OR(AND($A191="",$B191="",$C191="",$D191="",$E191="",$F191="",$G191="",$H191=""),NOT($S191="")),"",MAX(0,ROUND($P191-$B191,2)))</f>
        <v/>
      </c>
      <c r="R191" s="21" t="str">
        <f aca="false">IF(AND($A191="",$B191="",$C191="",$D191="",$E191="",$F191="",$G191="",$H191=""),"",IF(NOT($S191=""),"Check inputs",IF($B191=0,"No fee entered",IF($N191&lt;0,"Losing money on entered costs",IF(ROUND($N191*100,0)*10000&lt;TargetH*ROUND($B191*100,0),"Below your target","Meets your target")))))</f>
        <v/>
      </c>
      <c r="S191" s="22" t="str">
        <f aca="false">IF(AND($A191="",$B191="",$C191="",$D191="",$E191="",$F191="",$G191="",$H191=""),"",TRIM(IF($A191="","Customer/site label is missing. ","")&amp;IF($B191="","Monthly fee is missing. ",IF(NOT(ISNUMBER($B191)),"Monthly fee must be a number. ",IF($B191&lt;0,"Monthly fee can't be negative. ",IF(ROUND($B191,2)&lt;&gt;$B191,"Monthly fee: use up to 2 decimal places. ",IF($B191&gt;99999.99,"Monthly fee: use 99,999.99 or less. ","")))))&amp;IF($C191="","Visits per month is missing. ",IF(NOT(ISNUMBER($C191)),"Visits per month must be a number. ",IF($C191&lt;0,"Visits per month can't be negative. ",IF(ROUND($C191,3)&lt;&gt;$C191,"Visits per month: use up to 3 decimal places. ",IF($C191=0,"Visits per month must be more than 0. ",IF($C191&gt;31,"Visits per month: use 31 or less. ",""))))))&amp;IF($D191="","Service minutes per visit is missing. ",IF(NOT(ISNUMBER($D191)),"Service minutes per visit must be a number. ",IF($D191&lt;0,"Service minutes per visit can't be negative. ",IF(ROUND($D191,2)&lt;&gt;$D191,"Service minutes per visit: use up to 2 decimal places. ",IF($D191=0,"Service minutes per visit must be more than 0. ",IF($D191&gt;600,"Service minutes per visit: use 600 or less. ",""))))))&amp;IF($E191="","Drive minutes per visit is missing. ",IF(NOT(ISNUMBER($E191)),"Drive minutes per visit must be a number. ",IF($E191&lt;0,"Drive minutes per visit can't be negative. ",IF(ROUND($E191,2)&lt;&gt;$E191,"Drive minutes per visit: use up to 2 decimal places. ",IF($E191&gt;600,"Drive minutes per visit: use 600 or less. ","")))))&amp;IF($F191="","Drive miles per visit is missing. ",IF(NOT(ISNUMBER($F191)),"Drive miles per visit must be a number. ",IF($F191&lt;0,"Drive miles per visit can't be negative. ",IF(ROUND($F191,2)&lt;&gt;$F191,"Drive miles per visit: use up to 2 decimal places. ",IF($F191&gt;1000,"Drive miles per visit: use 1,000 or less. ","")))))&amp;IF($G191="","Chemicals per visit is missing. ",IF(NOT(ISNUMBER($G191)),"Chemicals per visit must be a number. ",IF($G191&lt;0,"Chemicals per visit can't be negative. ",IF(ROUND($G191,2)&lt;&gt;$G191,"Chemicals per visit: use up to 2 decimal places. ",IF($G191&gt;9999.99,"Chemicals per visit: use 9,999.99 or less. ","")))))&amp;IF($H191="","Other monthly costs is missing. ",IF(NOT(ISNUMBER($H191)),"Other monthly costs must be a number. ",IF($H191&lt;0,"Other monthly costs can't be negative. ",IF(ROUND($H191,2)&lt;&gt;$H191,"Other monthly costs: use up to 2 decimal places. ",IF($H191&gt;99999.99,"Other monthly costs: use 99,999.99 or less. ","")))))&amp;IF(SettingsOK,"","Settings incomplete.")))</f>
        <v/>
      </c>
      <c r="T191" s="23" t="str">
        <f aca="false">IF(AND($A191="",$B191="",$C191="",$D191="",$E191="",$F191="",$G191="",$H191=""),"",IF(Review!$B$5="Check inputs",IF($R191="Check inputs",ROW(),""),IF($R191="Check inputs",IF(Review!$B$5="All accounts",-2000000000000000+ROW(),""),IF(AND(Review!$B$5="Needs review",$R191="Meets your target"),"",IF($R191="No fee entered",-1000000000000000+ROW(),$N191/$B191+ROW()/1000000000)))))</f>
        <v/>
      </c>
    </row>
    <row r="192" customFormat="false" ht="15" hidden="false" customHeight="false" outlineLevel="0" collapsed="false">
      <c r="A192" s="14"/>
      <c r="B192" s="15"/>
      <c r="C192" s="16"/>
      <c r="D192" s="14"/>
      <c r="E192" s="14"/>
      <c r="F192" s="14"/>
      <c r="G192" s="15"/>
      <c r="H192" s="15"/>
      <c r="I192" s="17" t="str">
        <f aca="false">IF(OR(AND($A192="",$B192="",$C192="",$D192="",$E192="",$F192="",$G192="",$H192=""),NOT($S192="")),"",ROUND($C192*($D192+$E192)/60,4))</f>
        <v/>
      </c>
      <c r="J192" s="18" t="str">
        <f aca="false">IF(OR(AND($A192="",$B192="",$C192="",$D192="",$E192="",$F192="",$G192="",$H192=""),NOT($S192="")),"",ROUND(ROUND($C192*($D192+$E192)/60*$B$5,9),2))</f>
        <v/>
      </c>
      <c r="K192" s="18" t="str">
        <f aca="false">IF(OR(AND($A192="",$B192="",$C192="",$D192="",$E192="",$F192="",$G192="",$H192=""),NOT($S192="")),"",ROUND(ROUND($C192*$F192*$B$6,9),2))</f>
        <v/>
      </c>
      <c r="L192" s="18" t="str">
        <f aca="false">IF(OR(AND($A192="",$B192="",$C192="",$D192="",$E192="",$F192="",$G192="",$H192=""),NOT($S192="")),"",ROUND(ROUND($C192*$G192,9),2))</f>
        <v/>
      </c>
      <c r="M192" s="19" t="str">
        <f aca="false">IF(OR(AND($A192="",$B192="",$C192="",$D192="",$E192="",$F192="",$G192="",$H192=""),NOT($S192="")),"",ROUND($J192+$K192+$L192+$H192,2))</f>
        <v/>
      </c>
      <c r="N192" s="19" t="str">
        <f aca="false">IF(OR(AND($A192="",$B192="",$C192="",$D192="",$E192="",$F192="",$G192="",$H192=""),NOT($S192="")),"",ROUND($B192-$M192,2))</f>
        <v/>
      </c>
      <c r="O192" s="20" t="str">
        <f aca="false">IF(OR(AND($A192="",$B192="",$C192="",$D192="",$E192="",$F192="",$G192="",$H192=""),NOT($S192="")),"",IF($B192=0,"n/a",INT(ROUND($N192/$B192*10000,6))/10000))</f>
        <v/>
      </c>
      <c r="P192" s="18" t="str">
        <f aca="false">IF(OR(AND($A192="",$B192="",$C192="",$D192="",$E192="",$F192="",$G192="",$H192=""),NOT($S192="")),"",ROUNDUP(ROUND($M192*10000/(10000-TargetH),9),2))</f>
        <v/>
      </c>
      <c r="Q192" s="18" t="str">
        <f aca="false">IF(OR(AND($A192="",$B192="",$C192="",$D192="",$E192="",$F192="",$G192="",$H192=""),NOT($S192="")),"",MAX(0,ROUND($P192-$B192,2)))</f>
        <v/>
      </c>
      <c r="R192" s="21" t="str">
        <f aca="false">IF(AND($A192="",$B192="",$C192="",$D192="",$E192="",$F192="",$G192="",$H192=""),"",IF(NOT($S192=""),"Check inputs",IF($B192=0,"No fee entered",IF($N192&lt;0,"Losing money on entered costs",IF(ROUND($N192*100,0)*10000&lt;TargetH*ROUND($B192*100,0),"Below your target","Meets your target")))))</f>
        <v/>
      </c>
      <c r="S192" s="22" t="str">
        <f aca="false">IF(AND($A192="",$B192="",$C192="",$D192="",$E192="",$F192="",$G192="",$H192=""),"",TRIM(IF($A192="","Customer/site label is missing. ","")&amp;IF($B192="","Monthly fee is missing. ",IF(NOT(ISNUMBER($B192)),"Monthly fee must be a number. ",IF($B192&lt;0,"Monthly fee can't be negative. ",IF(ROUND($B192,2)&lt;&gt;$B192,"Monthly fee: use up to 2 decimal places. ",IF($B192&gt;99999.99,"Monthly fee: use 99,999.99 or less. ","")))))&amp;IF($C192="","Visits per month is missing. ",IF(NOT(ISNUMBER($C192)),"Visits per month must be a number. ",IF($C192&lt;0,"Visits per month can't be negative. ",IF(ROUND($C192,3)&lt;&gt;$C192,"Visits per month: use up to 3 decimal places. ",IF($C192=0,"Visits per month must be more than 0. ",IF($C192&gt;31,"Visits per month: use 31 or less. ",""))))))&amp;IF($D192="","Service minutes per visit is missing. ",IF(NOT(ISNUMBER($D192)),"Service minutes per visit must be a number. ",IF($D192&lt;0,"Service minutes per visit can't be negative. ",IF(ROUND($D192,2)&lt;&gt;$D192,"Service minutes per visit: use up to 2 decimal places. ",IF($D192=0,"Service minutes per visit must be more than 0. ",IF($D192&gt;600,"Service minutes per visit: use 600 or less. ",""))))))&amp;IF($E192="","Drive minutes per visit is missing. ",IF(NOT(ISNUMBER($E192)),"Drive minutes per visit must be a number. ",IF($E192&lt;0,"Drive minutes per visit can't be negative. ",IF(ROUND($E192,2)&lt;&gt;$E192,"Drive minutes per visit: use up to 2 decimal places. ",IF($E192&gt;600,"Drive minutes per visit: use 600 or less. ","")))))&amp;IF($F192="","Drive miles per visit is missing. ",IF(NOT(ISNUMBER($F192)),"Drive miles per visit must be a number. ",IF($F192&lt;0,"Drive miles per visit can't be negative. ",IF(ROUND($F192,2)&lt;&gt;$F192,"Drive miles per visit: use up to 2 decimal places. ",IF($F192&gt;1000,"Drive miles per visit: use 1,000 or less. ","")))))&amp;IF($G192="","Chemicals per visit is missing. ",IF(NOT(ISNUMBER($G192)),"Chemicals per visit must be a number. ",IF($G192&lt;0,"Chemicals per visit can't be negative. ",IF(ROUND($G192,2)&lt;&gt;$G192,"Chemicals per visit: use up to 2 decimal places. ",IF($G192&gt;9999.99,"Chemicals per visit: use 9,999.99 or less. ","")))))&amp;IF($H192="","Other monthly costs is missing. ",IF(NOT(ISNUMBER($H192)),"Other monthly costs must be a number. ",IF($H192&lt;0,"Other monthly costs can't be negative. ",IF(ROUND($H192,2)&lt;&gt;$H192,"Other monthly costs: use up to 2 decimal places. ",IF($H192&gt;99999.99,"Other monthly costs: use 99,999.99 or less. ","")))))&amp;IF(SettingsOK,"","Settings incomplete.")))</f>
        <v/>
      </c>
      <c r="T192" s="23" t="str">
        <f aca="false">IF(AND($A192="",$B192="",$C192="",$D192="",$E192="",$F192="",$G192="",$H192=""),"",IF(Review!$B$5="Check inputs",IF($R192="Check inputs",ROW(),""),IF($R192="Check inputs",IF(Review!$B$5="All accounts",-2000000000000000+ROW(),""),IF(AND(Review!$B$5="Needs review",$R192="Meets your target"),"",IF($R192="No fee entered",-1000000000000000+ROW(),$N192/$B192+ROW()/1000000000)))))</f>
        <v/>
      </c>
    </row>
    <row r="193" customFormat="false" ht="15" hidden="false" customHeight="false" outlineLevel="0" collapsed="false">
      <c r="A193" s="14"/>
      <c r="B193" s="15"/>
      <c r="C193" s="16"/>
      <c r="D193" s="14"/>
      <c r="E193" s="14"/>
      <c r="F193" s="14"/>
      <c r="G193" s="15"/>
      <c r="H193" s="15"/>
      <c r="I193" s="17" t="str">
        <f aca="false">IF(OR(AND($A193="",$B193="",$C193="",$D193="",$E193="",$F193="",$G193="",$H193=""),NOT($S193="")),"",ROUND($C193*($D193+$E193)/60,4))</f>
        <v/>
      </c>
      <c r="J193" s="18" t="str">
        <f aca="false">IF(OR(AND($A193="",$B193="",$C193="",$D193="",$E193="",$F193="",$G193="",$H193=""),NOT($S193="")),"",ROUND(ROUND($C193*($D193+$E193)/60*$B$5,9),2))</f>
        <v/>
      </c>
      <c r="K193" s="18" t="str">
        <f aca="false">IF(OR(AND($A193="",$B193="",$C193="",$D193="",$E193="",$F193="",$G193="",$H193=""),NOT($S193="")),"",ROUND(ROUND($C193*$F193*$B$6,9),2))</f>
        <v/>
      </c>
      <c r="L193" s="18" t="str">
        <f aca="false">IF(OR(AND($A193="",$B193="",$C193="",$D193="",$E193="",$F193="",$G193="",$H193=""),NOT($S193="")),"",ROUND(ROUND($C193*$G193,9),2))</f>
        <v/>
      </c>
      <c r="M193" s="19" t="str">
        <f aca="false">IF(OR(AND($A193="",$B193="",$C193="",$D193="",$E193="",$F193="",$G193="",$H193=""),NOT($S193="")),"",ROUND($J193+$K193+$L193+$H193,2))</f>
        <v/>
      </c>
      <c r="N193" s="19" t="str">
        <f aca="false">IF(OR(AND($A193="",$B193="",$C193="",$D193="",$E193="",$F193="",$G193="",$H193=""),NOT($S193="")),"",ROUND($B193-$M193,2))</f>
        <v/>
      </c>
      <c r="O193" s="20" t="str">
        <f aca="false">IF(OR(AND($A193="",$B193="",$C193="",$D193="",$E193="",$F193="",$G193="",$H193=""),NOT($S193="")),"",IF($B193=0,"n/a",INT(ROUND($N193/$B193*10000,6))/10000))</f>
        <v/>
      </c>
      <c r="P193" s="18" t="str">
        <f aca="false">IF(OR(AND($A193="",$B193="",$C193="",$D193="",$E193="",$F193="",$G193="",$H193=""),NOT($S193="")),"",ROUNDUP(ROUND($M193*10000/(10000-TargetH),9),2))</f>
        <v/>
      </c>
      <c r="Q193" s="18" t="str">
        <f aca="false">IF(OR(AND($A193="",$B193="",$C193="",$D193="",$E193="",$F193="",$G193="",$H193=""),NOT($S193="")),"",MAX(0,ROUND($P193-$B193,2)))</f>
        <v/>
      </c>
      <c r="R193" s="21" t="str">
        <f aca="false">IF(AND($A193="",$B193="",$C193="",$D193="",$E193="",$F193="",$G193="",$H193=""),"",IF(NOT($S193=""),"Check inputs",IF($B193=0,"No fee entered",IF($N193&lt;0,"Losing money on entered costs",IF(ROUND($N193*100,0)*10000&lt;TargetH*ROUND($B193*100,0),"Below your target","Meets your target")))))</f>
        <v/>
      </c>
      <c r="S193" s="22" t="str">
        <f aca="false">IF(AND($A193="",$B193="",$C193="",$D193="",$E193="",$F193="",$G193="",$H193=""),"",TRIM(IF($A193="","Customer/site label is missing. ","")&amp;IF($B193="","Monthly fee is missing. ",IF(NOT(ISNUMBER($B193)),"Monthly fee must be a number. ",IF($B193&lt;0,"Monthly fee can't be negative. ",IF(ROUND($B193,2)&lt;&gt;$B193,"Monthly fee: use up to 2 decimal places. ",IF($B193&gt;99999.99,"Monthly fee: use 99,999.99 or less. ","")))))&amp;IF($C193="","Visits per month is missing. ",IF(NOT(ISNUMBER($C193)),"Visits per month must be a number. ",IF($C193&lt;0,"Visits per month can't be negative. ",IF(ROUND($C193,3)&lt;&gt;$C193,"Visits per month: use up to 3 decimal places. ",IF($C193=0,"Visits per month must be more than 0. ",IF($C193&gt;31,"Visits per month: use 31 or less. ",""))))))&amp;IF($D193="","Service minutes per visit is missing. ",IF(NOT(ISNUMBER($D193)),"Service minutes per visit must be a number. ",IF($D193&lt;0,"Service minutes per visit can't be negative. ",IF(ROUND($D193,2)&lt;&gt;$D193,"Service minutes per visit: use up to 2 decimal places. ",IF($D193=0,"Service minutes per visit must be more than 0. ",IF($D193&gt;600,"Service minutes per visit: use 600 or less. ",""))))))&amp;IF($E193="","Drive minutes per visit is missing. ",IF(NOT(ISNUMBER($E193)),"Drive minutes per visit must be a number. ",IF($E193&lt;0,"Drive minutes per visit can't be negative. ",IF(ROUND($E193,2)&lt;&gt;$E193,"Drive minutes per visit: use up to 2 decimal places. ",IF($E193&gt;600,"Drive minutes per visit: use 600 or less. ","")))))&amp;IF($F193="","Drive miles per visit is missing. ",IF(NOT(ISNUMBER($F193)),"Drive miles per visit must be a number. ",IF($F193&lt;0,"Drive miles per visit can't be negative. ",IF(ROUND($F193,2)&lt;&gt;$F193,"Drive miles per visit: use up to 2 decimal places. ",IF($F193&gt;1000,"Drive miles per visit: use 1,000 or less. ","")))))&amp;IF($G193="","Chemicals per visit is missing. ",IF(NOT(ISNUMBER($G193)),"Chemicals per visit must be a number. ",IF($G193&lt;0,"Chemicals per visit can't be negative. ",IF(ROUND($G193,2)&lt;&gt;$G193,"Chemicals per visit: use up to 2 decimal places. ",IF($G193&gt;9999.99,"Chemicals per visit: use 9,999.99 or less. ","")))))&amp;IF($H193="","Other monthly costs is missing. ",IF(NOT(ISNUMBER($H193)),"Other monthly costs must be a number. ",IF($H193&lt;0,"Other monthly costs can't be negative. ",IF(ROUND($H193,2)&lt;&gt;$H193,"Other monthly costs: use up to 2 decimal places. ",IF($H193&gt;99999.99,"Other monthly costs: use 99,999.99 or less. ","")))))&amp;IF(SettingsOK,"","Settings incomplete.")))</f>
        <v/>
      </c>
      <c r="T193" s="23" t="str">
        <f aca="false">IF(AND($A193="",$B193="",$C193="",$D193="",$E193="",$F193="",$G193="",$H193=""),"",IF(Review!$B$5="Check inputs",IF($R193="Check inputs",ROW(),""),IF($R193="Check inputs",IF(Review!$B$5="All accounts",-2000000000000000+ROW(),""),IF(AND(Review!$B$5="Needs review",$R193="Meets your target"),"",IF($R193="No fee entered",-1000000000000000+ROW(),$N193/$B193+ROW()/1000000000)))))</f>
        <v/>
      </c>
    </row>
    <row r="194" customFormat="false" ht="15" hidden="false" customHeight="false" outlineLevel="0" collapsed="false">
      <c r="A194" s="14"/>
      <c r="B194" s="15"/>
      <c r="C194" s="16"/>
      <c r="D194" s="14"/>
      <c r="E194" s="14"/>
      <c r="F194" s="14"/>
      <c r="G194" s="15"/>
      <c r="H194" s="15"/>
      <c r="I194" s="17" t="str">
        <f aca="false">IF(OR(AND($A194="",$B194="",$C194="",$D194="",$E194="",$F194="",$G194="",$H194=""),NOT($S194="")),"",ROUND($C194*($D194+$E194)/60,4))</f>
        <v/>
      </c>
      <c r="J194" s="18" t="str">
        <f aca="false">IF(OR(AND($A194="",$B194="",$C194="",$D194="",$E194="",$F194="",$G194="",$H194=""),NOT($S194="")),"",ROUND(ROUND($C194*($D194+$E194)/60*$B$5,9),2))</f>
        <v/>
      </c>
      <c r="K194" s="18" t="str">
        <f aca="false">IF(OR(AND($A194="",$B194="",$C194="",$D194="",$E194="",$F194="",$G194="",$H194=""),NOT($S194="")),"",ROUND(ROUND($C194*$F194*$B$6,9),2))</f>
        <v/>
      </c>
      <c r="L194" s="18" t="str">
        <f aca="false">IF(OR(AND($A194="",$B194="",$C194="",$D194="",$E194="",$F194="",$G194="",$H194=""),NOT($S194="")),"",ROUND(ROUND($C194*$G194,9),2))</f>
        <v/>
      </c>
      <c r="M194" s="19" t="str">
        <f aca="false">IF(OR(AND($A194="",$B194="",$C194="",$D194="",$E194="",$F194="",$G194="",$H194=""),NOT($S194="")),"",ROUND($J194+$K194+$L194+$H194,2))</f>
        <v/>
      </c>
      <c r="N194" s="19" t="str">
        <f aca="false">IF(OR(AND($A194="",$B194="",$C194="",$D194="",$E194="",$F194="",$G194="",$H194=""),NOT($S194="")),"",ROUND($B194-$M194,2))</f>
        <v/>
      </c>
      <c r="O194" s="20" t="str">
        <f aca="false">IF(OR(AND($A194="",$B194="",$C194="",$D194="",$E194="",$F194="",$G194="",$H194=""),NOT($S194="")),"",IF($B194=0,"n/a",INT(ROUND($N194/$B194*10000,6))/10000))</f>
        <v/>
      </c>
      <c r="P194" s="18" t="str">
        <f aca="false">IF(OR(AND($A194="",$B194="",$C194="",$D194="",$E194="",$F194="",$G194="",$H194=""),NOT($S194="")),"",ROUNDUP(ROUND($M194*10000/(10000-TargetH),9),2))</f>
        <v/>
      </c>
      <c r="Q194" s="18" t="str">
        <f aca="false">IF(OR(AND($A194="",$B194="",$C194="",$D194="",$E194="",$F194="",$G194="",$H194=""),NOT($S194="")),"",MAX(0,ROUND($P194-$B194,2)))</f>
        <v/>
      </c>
      <c r="R194" s="21" t="str">
        <f aca="false">IF(AND($A194="",$B194="",$C194="",$D194="",$E194="",$F194="",$G194="",$H194=""),"",IF(NOT($S194=""),"Check inputs",IF($B194=0,"No fee entered",IF($N194&lt;0,"Losing money on entered costs",IF(ROUND($N194*100,0)*10000&lt;TargetH*ROUND($B194*100,0),"Below your target","Meets your target")))))</f>
        <v/>
      </c>
      <c r="S194" s="22" t="str">
        <f aca="false">IF(AND($A194="",$B194="",$C194="",$D194="",$E194="",$F194="",$G194="",$H194=""),"",TRIM(IF($A194="","Customer/site label is missing. ","")&amp;IF($B194="","Monthly fee is missing. ",IF(NOT(ISNUMBER($B194)),"Monthly fee must be a number. ",IF($B194&lt;0,"Monthly fee can't be negative. ",IF(ROUND($B194,2)&lt;&gt;$B194,"Monthly fee: use up to 2 decimal places. ",IF($B194&gt;99999.99,"Monthly fee: use 99,999.99 or less. ","")))))&amp;IF($C194="","Visits per month is missing. ",IF(NOT(ISNUMBER($C194)),"Visits per month must be a number. ",IF($C194&lt;0,"Visits per month can't be negative. ",IF(ROUND($C194,3)&lt;&gt;$C194,"Visits per month: use up to 3 decimal places. ",IF($C194=0,"Visits per month must be more than 0. ",IF($C194&gt;31,"Visits per month: use 31 or less. ",""))))))&amp;IF($D194="","Service minutes per visit is missing. ",IF(NOT(ISNUMBER($D194)),"Service minutes per visit must be a number. ",IF($D194&lt;0,"Service minutes per visit can't be negative. ",IF(ROUND($D194,2)&lt;&gt;$D194,"Service minutes per visit: use up to 2 decimal places. ",IF($D194=0,"Service minutes per visit must be more than 0. ",IF($D194&gt;600,"Service minutes per visit: use 600 or less. ",""))))))&amp;IF($E194="","Drive minutes per visit is missing. ",IF(NOT(ISNUMBER($E194)),"Drive minutes per visit must be a number. ",IF($E194&lt;0,"Drive minutes per visit can't be negative. ",IF(ROUND($E194,2)&lt;&gt;$E194,"Drive minutes per visit: use up to 2 decimal places. ",IF($E194&gt;600,"Drive minutes per visit: use 600 or less. ","")))))&amp;IF($F194="","Drive miles per visit is missing. ",IF(NOT(ISNUMBER($F194)),"Drive miles per visit must be a number. ",IF($F194&lt;0,"Drive miles per visit can't be negative. ",IF(ROUND($F194,2)&lt;&gt;$F194,"Drive miles per visit: use up to 2 decimal places. ",IF($F194&gt;1000,"Drive miles per visit: use 1,000 or less. ","")))))&amp;IF($G194="","Chemicals per visit is missing. ",IF(NOT(ISNUMBER($G194)),"Chemicals per visit must be a number. ",IF($G194&lt;0,"Chemicals per visit can't be negative. ",IF(ROUND($G194,2)&lt;&gt;$G194,"Chemicals per visit: use up to 2 decimal places. ",IF($G194&gt;9999.99,"Chemicals per visit: use 9,999.99 or less. ","")))))&amp;IF($H194="","Other monthly costs is missing. ",IF(NOT(ISNUMBER($H194)),"Other monthly costs must be a number. ",IF($H194&lt;0,"Other monthly costs can't be negative. ",IF(ROUND($H194,2)&lt;&gt;$H194,"Other monthly costs: use up to 2 decimal places. ",IF($H194&gt;99999.99,"Other monthly costs: use 99,999.99 or less. ","")))))&amp;IF(SettingsOK,"","Settings incomplete.")))</f>
        <v/>
      </c>
      <c r="T194" s="23" t="str">
        <f aca="false">IF(AND($A194="",$B194="",$C194="",$D194="",$E194="",$F194="",$G194="",$H194=""),"",IF(Review!$B$5="Check inputs",IF($R194="Check inputs",ROW(),""),IF($R194="Check inputs",IF(Review!$B$5="All accounts",-2000000000000000+ROW(),""),IF(AND(Review!$B$5="Needs review",$R194="Meets your target"),"",IF($R194="No fee entered",-1000000000000000+ROW(),$N194/$B194+ROW()/1000000000)))))</f>
        <v/>
      </c>
    </row>
    <row r="195" customFormat="false" ht="15" hidden="false" customHeight="false" outlineLevel="0" collapsed="false">
      <c r="A195" s="14"/>
      <c r="B195" s="15"/>
      <c r="C195" s="16"/>
      <c r="D195" s="14"/>
      <c r="E195" s="14"/>
      <c r="F195" s="14"/>
      <c r="G195" s="15"/>
      <c r="H195" s="15"/>
      <c r="I195" s="17" t="str">
        <f aca="false">IF(OR(AND($A195="",$B195="",$C195="",$D195="",$E195="",$F195="",$G195="",$H195=""),NOT($S195="")),"",ROUND($C195*($D195+$E195)/60,4))</f>
        <v/>
      </c>
      <c r="J195" s="18" t="str">
        <f aca="false">IF(OR(AND($A195="",$B195="",$C195="",$D195="",$E195="",$F195="",$G195="",$H195=""),NOT($S195="")),"",ROUND(ROUND($C195*($D195+$E195)/60*$B$5,9),2))</f>
        <v/>
      </c>
      <c r="K195" s="18" t="str">
        <f aca="false">IF(OR(AND($A195="",$B195="",$C195="",$D195="",$E195="",$F195="",$G195="",$H195=""),NOT($S195="")),"",ROUND(ROUND($C195*$F195*$B$6,9),2))</f>
        <v/>
      </c>
      <c r="L195" s="18" t="str">
        <f aca="false">IF(OR(AND($A195="",$B195="",$C195="",$D195="",$E195="",$F195="",$G195="",$H195=""),NOT($S195="")),"",ROUND(ROUND($C195*$G195,9),2))</f>
        <v/>
      </c>
      <c r="M195" s="19" t="str">
        <f aca="false">IF(OR(AND($A195="",$B195="",$C195="",$D195="",$E195="",$F195="",$G195="",$H195=""),NOT($S195="")),"",ROUND($J195+$K195+$L195+$H195,2))</f>
        <v/>
      </c>
      <c r="N195" s="19" t="str">
        <f aca="false">IF(OR(AND($A195="",$B195="",$C195="",$D195="",$E195="",$F195="",$G195="",$H195=""),NOT($S195="")),"",ROUND($B195-$M195,2))</f>
        <v/>
      </c>
      <c r="O195" s="20" t="str">
        <f aca="false">IF(OR(AND($A195="",$B195="",$C195="",$D195="",$E195="",$F195="",$G195="",$H195=""),NOT($S195="")),"",IF($B195=0,"n/a",INT(ROUND($N195/$B195*10000,6))/10000))</f>
        <v/>
      </c>
      <c r="P195" s="18" t="str">
        <f aca="false">IF(OR(AND($A195="",$B195="",$C195="",$D195="",$E195="",$F195="",$G195="",$H195=""),NOT($S195="")),"",ROUNDUP(ROUND($M195*10000/(10000-TargetH),9),2))</f>
        <v/>
      </c>
      <c r="Q195" s="18" t="str">
        <f aca="false">IF(OR(AND($A195="",$B195="",$C195="",$D195="",$E195="",$F195="",$G195="",$H195=""),NOT($S195="")),"",MAX(0,ROUND($P195-$B195,2)))</f>
        <v/>
      </c>
      <c r="R195" s="21" t="str">
        <f aca="false">IF(AND($A195="",$B195="",$C195="",$D195="",$E195="",$F195="",$G195="",$H195=""),"",IF(NOT($S195=""),"Check inputs",IF($B195=0,"No fee entered",IF($N195&lt;0,"Losing money on entered costs",IF(ROUND($N195*100,0)*10000&lt;TargetH*ROUND($B195*100,0),"Below your target","Meets your target")))))</f>
        <v/>
      </c>
      <c r="S195" s="22" t="str">
        <f aca="false">IF(AND($A195="",$B195="",$C195="",$D195="",$E195="",$F195="",$G195="",$H195=""),"",TRIM(IF($A195="","Customer/site label is missing. ","")&amp;IF($B195="","Monthly fee is missing. ",IF(NOT(ISNUMBER($B195)),"Monthly fee must be a number. ",IF($B195&lt;0,"Monthly fee can't be negative. ",IF(ROUND($B195,2)&lt;&gt;$B195,"Monthly fee: use up to 2 decimal places. ",IF($B195&gt;99999.99,"Monthly fee: use 99,999.99 or less. ","")))))&amp;IF($C195="","Visits per month is missing. ",IF(NOT(ISNUMBER($C195)),"Visits per month must be a number. ",IF($C195&lt;0,"Visits per month can't be negative. ",IF(ROUND($C195,3)&lt;&gt;$C195,"Visits per month: use up to 3 decimal places. ",IF($C195=0,"Visits per month must be more than 0. ",IF($C195&gt;31,"Visits per month: use 31 or less. ",""))))))&amp;IF($D195="","Service minutes per visit is missing. ",IF(NOT(ISNUMBER($D195)),"Service minutes per visit must be a number. ",IF($D195&lt;0,"Service minutes per visit can't be negative. ",IF(ROUND($D195,2)&lt;&gt;$D195,"Service minutes per visit: use up to 2 decimal places. ",IF($D195=0,"Service minutes per visit must be more than 0. ",IF($D195&gt;600,"Service minutes per visit: use 600 or less. ",""))))))&amp;IF($E195="","Drive minutes per visit is missing. ",IF(NOT(ISNUMBER($E195)),"Drive minutes per visit must be a number. ",IF($E195&lt;0,"Drive minutes per visit can't be negative. ",IF(ROUND($E195,2)&lt;&gt;$E195,"Drive minutes per visit: use up to 2 decimal places. ",IF($E195&gt;600,"Drive minutes per visit: use 600 or less. ","")))))&amp;IF($F195="","Drive miles per visit is missing. ",IF(NOT(ISNUMBER($F195)),"Drive miles per visit must be a number. ",IF($F195&lt;0,"Drive miles per visit can't be negative. ",IF(ROUND($F195,2)&lt;&gt;$F195,"Drive miles per visit: use up to 2 decimal places. ",IF($F195&gt;1000,"Drive miles per visit: use 1,000 or less. ","")))))&amp;IF($G195="","Chemicals per visit is missing. ",IF(NOT(ISNUMBER($G195)),"Chemicals per visit must be a number. ",IF($G195&lt;0,"Chemicals per visit can't be negative. ",IF(ROUND($G195,2)&lt;&gt;$G195,"Chemicals per visit: use up to 2 decimal places. ",IF($G195&gt;9999.99,"Chemicals per visit: use 9,999.99 or less. ","")))))&amp;IF($H195="","Other monthly costs is missing. ",IF(NOT(ISNUMBER($H195)),"Other monthly costs must be a number. ",IF($H195&lt;0,"Other monthly costs can't be negative. ",IF(ROUND($H195,2)&lt;&gt;$H195,"Other monthly costs: use up to 2 decimal places. ",IF($H195&gt;99999.99,"Other monthly costs: use 99,999.99 or less. ","")))))&amp;IF(SettingsOK,"","Settings incomplete.")))</f>
        <v/>
      </c>
      <c r="T195" s="23" t="str">
        <f aca="false">IF(AND($A195="",$B195="",$C195="",$D195="",$E195="",$F195="",$G195="",$H195=""),"",IF(Review!$B$5="Check inputs",IF($R195="Check inputs",ROW(),""),IF($R195="Check inputs",IF(Review!$B$5="All accounts",-2000000000000000+ROW(),""),IF(AND(Review!$B$5="Needs review",$R195="Meets your target"),"",IF($R195="No fee entered",-1000000000000000+ROW(),$N195/$B195+ROW()/1000000000)))))</f>
        <v/>
      </c>
    </row>
    <row r="196" customFormat="false" ht="15" hidden="false" customHeight="false" outlineLevel="0" collapsed="false">
      <c r="A196" s="14"/>
      <c r="B196" s="15"/>
      <c r="C196" s="16"/>
      <c r="D196" s="14"/>
      <c r="E196" s="14"/>
      <c r="F196" s="14"/>
      <c r="G196" s="15"/>
      <c r="H196" s="15"/>
      <c r="I196" s="17" t="str">
        <f aca="false">IF(OR(AND($A196="",$B196="",$C196="",$D196="",$E196="",$F196="",$G196="",$H196=""),NOT($S196="")),"",ROUND($C196*($D196+$E196)/60,4))</f>
        <v/>
      </c>
      <c r="J196" s="18" t="str">
        <f aca="false">IF(OR(AND($A196="",$B196="",$C196="",$D196="",$E196="",$F196="",$G196="",$H196=""),NOT($S196="")),"",ROUND(ROUND($C196*($D196+$E196)/60*$B$5,9),2))</f>
        <v/>
      </c>
      <c r="K196" s="18" t="str">
        <f aca="false">IF(OR(AND($A196="",$B196="",$C196="",$D196="",$E196="",$F196="",$G196="",$H196=""),NOT($S196="")),"",ROUND(ROUND($C196*$F196*$B$6,9),2))</f>
        <v/>
      </c>
      <c r="L196" s="18" t="str">
        <f aca="false">IF(OR(AND($A196="",$B196="",$C196="",$D196="",$E196="",$F196="",$G196="",$H196=""),NOT($S196="")),"",ROUND(ROUND($C196*$G196,9),2))</f>
        <v/>
      </c>
      <c r="M196" s="19" t="str">
        <f aca="false">IF(OR(AND($A196="",$B196="",$C196="",$D196="",$E196="",$F196="",$G196="",$H196=""),NOT($S196="")),"",ROUND($J196+$K196+$L196+$H196,2))</f>
        <v/>
      </c>
      <c r="N196" s="19" t="str">
        <f aca="false">IF(OR(AND($A196="",$B196="",$C196="",$D196="",$E196="",$F196="",$G196="",$H196=""),NOT($S196="")),"",ROUND($B196-$M196,2))</f>
        <v/>
      </c>
      <c r="O196" s="20" t="str">
        <f aca="false">IF(OR(AND($A196="",$B196="",$C196="",$D196="",$E196="",$F196="",$G196="",$H196=""),NOT($S196="")),"",IF($B196=0,"n/a",INT(ROUND($N196/$B196*10000,6))/10000))</f>
        <v/>
      </c>
      <c r="P196" s="18" t="str">
        <f aca="false">IF(OR(AND($A196="",$B196="",$C196="",$D196="",$E196="",$F196="",$G196="",$H196=""),NOT($S196="")),"",ROUNDUP(ROUND($M196*10000/(10000-TargetH),9),2))</f>
        <v/>
      </c>
      <c r="Q196" s="18" t="str">
        <f aca="false">IF(OR(AND($A196="",$B196="",$C196="",$D196="",$E196="",$F196="",$G196="",$H196=""),NOT($S196="")),"",MAX(0,ROUND($P196-$B196,2)))</f>
        <v/>
      </c>
      <c r="R196" s="21" t="str">
        <f aca="false">IF(AND($A196="",$B196="",$C196="",$D196="",$E196="",$F196="",$G196="",$H196=""),"",IF(NOT($S196=""),"Check inputs",IF($B196=0,"No fee entered",IF($N196&lt;0,"Losing money on entered costs",IF(ROUND($N196*100,0)*10000&lt;TargetH*ROUND($B196*100,0),"Below your target","Meets your target")))))</f>
        <v/>
      </c>
      <c r="S196" s="22" t="str">
        <f aca="false">IF(AND($A196="",$B196="",$C196="",$D196="",$E196="",$F196="",$G196="",$H196=""),"",TRIM(IF($A196="","Customer/site label is missing. ","")&amp;IF($B196="","Monthly fee is missing. ",IF(NOT(ISNUMBER($B196)),"Monthly fee must be a number. ",IF($B196&lt;0,"Monthly fee can't be negative. ",IF(ROUND($B196,2)&lt;&gt;$B196,"Monthly fee: use up to 2 decimal places. ",IF($B196&gt;99999.99,"Monthly fee: use 99,999.99 or less. ","")))))&amp;IF($C196="","Visits per month is missing. ",IF(NOT(ISNUMBER($C196)),"Visits per month must be a number. ",IF($C196&lt;0,"Visits per month can't be negative. ",IF(ROUND($C196,3)&lt;&gt;$C196,"Visits per month: use up to 3 decimal places. ",IF($C196=0,"Visits per month must be more than 0. ",IF($C196&gt;31,"Visits per month: use 31 or less. ",""))))))&amp;IF($D196="","Service minutes per visit is missing. ",IF(NOT(ISNUMBER($D196)),"Service minutes per visit must be a number. ",IF($D196&lt;0,"Service minutes per visit can't be negative. ",IF(ROUND($D196,2)&lt;&gt;$D196,"Service minutes per visit: use up to 2 decimal places. ",IF($D196=0,"Service minutes per visit must be more than 0. ",IF($D196&gt;600,"Service minutes per visit: use 600 or less. ",""))))))&amp;IF($E196="","Drive minutes per visit is missing. ",IF(NOT(ISNUMBER($E196)),"Drive minutes per visit must be a number. ",IF($E196&lt;0,"Drive minutes per visit can't be negative. ",IF(ROUND($E196,2)&lt;&gt;$E196,"Drive minutes per visit: use up to 2 decimal places. ",IF($E196&gt;600,"Drive minutes per visit: use 600 or less. ","")))))&amp;IF($F196="","Drive miles per visit is missing. ",IF(NOT(ISNUMBER($F196)),"Drive miles per visit must be a number. ",IF($F196&lt;0,"Drive miles per visit can't be negative. ",IF(ROUND($F196,2)&lt;&gt;$F196,"Drive miles per visit: use up to 2 decimal places. ",IF($F196&gt;1000,"Drive miles per visit: use 1,000 or less. ","")))))&amp;IF($G196="","Chemicals per visit is missing. ",IF(NOT(ISNUMBER($G196)),"Chemicals per visit must be a number. ",IF($G196&lt;0,"Chemicals per visit can't be negative. ",IF(ROUND($G196,2)&lt;&gt;$G196,"Chemicals per visit: use up to 2 decimal places. ",IF($G196&gt;9999.99,"Chemicals per visit: use 9,999.99 or less. ","")))))&amp;IF($H196="","Other monthly costs is missing. ",IF(NOT(ISNUMBER($H196)),"Other monthly costs must be a number. ",IF($H196&lt;0,"Other monthly costs can't be negative. ",IF(ROUND($H196,2)&lt;&gt;$H196,"Other monthly costs: use up to 2 decimal places. ",IF($H196&gt;99999.99,"Other monthly costs: use 99,999.99 or less. ","")))))&amp;IF(SettingsOK,"","Settings incomplete.")))</f>
        <v/>
      </c>
      <c r="T196" s="23" t="str">
        <f aca="false">IF(AND($A196="",$B196="",$C196="",$D196="",$E196="",$F196="",$G196="",$H196=""),"",IF(Review!$B$5="Check inputs",IF($R196="Check inputs",ROW(),""),IF($R196="Check inputs",IF(Review!$B$5="All accounts",-2000000000000000+ROW(),""),IF(AND(Review!$B$5="Needs review",$R196="Meets your target"),"",IF($R196="No fee entered",-1000000000000000+ROW(),$N196/$B196+ROW()/1000000000)))))</f>
        <v/>
      </c>
    </row>
    <row r="197" customFormat="false" ht="15" hidden="false" customHeight="false" outlineLevel="0" collapsed="false">
      <c r="A197" s="14"/>
      <c r="B197" s="15"/>
      <c r="C197" s="16"/>
      <c r="D197" s="14"/>
      <c r="E197" s="14"/>
      <c r="F197" s="14"/>
      <c r="G197" s="15"/>
      <c r="H197" s="15"/>
      <c r="I197" s="17" t="str">
        <f aca="false">IF(OR(AND($A197="",$B197="",$C197="",$D197="",$E197="",$F197="",$G197="",$H197=""),NOT($S197="")),"",ROUND($C197*($D197+$E197)/60,4))</f>
        <v/>
      </c>
      <c r="J197" s="18" t="str">
        <f aca="false">IF(OR(AND($A197="",$B197="",$C197="",$D197="",$E197="",$F197="",$G197="",$H197=""),NOT($S197="")),"",ROUND(ROUND($C197*($D197+$E197)/60*$B$5,9),2))</f>
        <v/>
      </c>
      <c r="K197" s="18" t="str">
        <f aca="false">IF(OR(AND($A197="",$B197="",$C197="",$D197="",$E197="",$F197="",$G197="",$H197=""),NOT($S197="")),"",ROUND(ROUND($C197*$F197*$B$6,9),2))</f>
        <v/>
      </c>
      <c r="L197" s="18" t="str">
        <f aca="false">IF(OR(AND($A197="",$B197="",$C197="",$D197="",$E197="",$F197="",$G197="",$H197=""),NOT($S197="")),"",ROUND(ROUND($C197*$G197,9),2))</f>
        <v/>
      </c>
      <c r="M197" s="19" t="str">
        <f aca="false">IF(OR(AND($A197="",$B197="",$C197="",$D197="",$E197="",$F197="",$G197="",$H197=""),NOT($S197="")),"",ROUND($J197+$K197+$L197+$H197,2))</f>
        <v/>
      </c>
      <c r="N197" s="19" t="str">
        <f aca="false">IF(OR(AND($A197="",$B197="",$C197="",$D197="",$E197="",$F197="",$G197="",$H197=""),NOT($S197="")),"",ROUND($B197-$M197,2))</f>
        <v/>
      </c>
      <c r="O197" s="20" t="str">
        <f aca="false">IF(OR(AND($A197="",$B197="",$C197="",$D197="",$E197="",$F197="",$G197="",$H197=""),NOT($S197="")),"",IF($B197=0,"n/a",INT(ROUND($N197/$B197*10000,6))/10000))</f>
        <v/>
      </c>
      <c r="P197" s="18" t="str">
        <f aca="false">IF(OR(AND($A197="",$B197="",$C197="",$D197="",$E197="",$F197="",$G197="",$H197=""),NOT($S197="")),"",ROUNDUP(ROUND($M197*10000/(10000-TargetH),9),2))</f>
        <v/>
      </c>
      <c r="Q197" s="18" t="str">
        <f aca="false">IF(OR(AND($A197="",$B197="",$C197="",$D197="",$E197="",$F197="",$G197="",$H197=""),NOT($S197="")),"",MAX(0,ROUND($P197-$B197,2)))</f>
        <v/>
      </c>
      <c r="R197" s="21" t="str">
        <f aca="false">IF(AND($A197="",$B197="",$C197="",$D197="",$E197="",$F197="",$G197="",$H197=""),"",IF(NOT($S197=""),"Check inputs",IF($B197=0,"No fee entered",IF($N197&lt;0,"Losing money on entered costs",IF(ROUND($N197*100,0)*10000&lt;TargetH*ROUND($B197*100,0),"Below your target","Meets your target")))))</f>
        <v/>
      </c>
      <c r="S197" s="22" t="str">
        <f aca="false">IF(AND($A197="",$B197="",$C197="",$D197="",$E197="",$F197="",$G197="",$H197=""),"",TRIM(IF($A197="","Customer/site label is missing. ","")&amp;IF($B197="","Monthly fee is missing. ",IF(NOT(ISNUMBER($B197)),"Monthly fee must be a number. ",IF($B197&lt;0,"Monthly fee can't be negative. ",IF(ROUND($B197,2)&lt;&gt;$B197,"Monthly fee: use up to 2 decimal places. ",IF($B197&gt;99999.99,"Monthly fee: use 99,999.99 or less. ","")))))&amp;IF($C197="","Visits per month is missing. ",IF(NOT(ISNUMBER($C197)),"Visits per month must be a number. ",IF($C197&lt;0,"Visits per month can't be negative. ",IF(ROUND($C197,3)&lt;&gt;$C197,"Visits per month: use up to 3 decimal places. ",IF($C197=0,"Visits per month must be more than 0. ",IF($C197&gt;31,"Visits per month: use 31 or less. ",""))))))&amp;IF($D197="","Service minutes per visit is missing. ",IF(NOT(ISNUMBER($D197)),"Service minutes per visit must be a number. ",IF($D197&lt;0,"Service minutes per visit can't be negative. ",IF(ROUND($D197,2)&lt;&gt;$D197,"Service minutes per visit: use up to 2 decimal places. ",IF($D197=0,"Service minutes per visit must be more than 0. ",IF($D197&gt;600,"Service minutes per visit: use 600 or less. ",""))))))&amp;IF($E197="","Drive minutes per visit is missing. ",IF(NOT(ISNUMBER($E197)),"Drive minutes per visit must be a number. ",IF($E197&lt;0,"Drive minutes per visit can't be negative. ",IF(ROUND($E197,2)&lt;&gt;$E197,"Drive minutes per visit: use up to 2 decimal places. ",IF($E197&gt;600,"Drive minutes per visit: use 600 or less. ","")))))&amp;IF($F197="","Drive miles per visit is missing. ",IF(NOT(ISNUMBER($F197)),"Drive miles per visit must be a number. ",IF($F197&lt;0,"Drive miles per visit can't be negative. ",IF(ROUND($F197,2)&lt;&gt;$F197,"Drive miles per visit: use up to 2 decimal places. ",IF($F197&gt;1000,"Drive miles per visit: use 1,000 or less. ","")))))&amp;IF($G197="","Chemicals per visit is missing. ",IF(NOT(ISNUMBER($G197)),"Chemicals per visit must be a number. ",IF($G197&lt;0,"Chemicals per visit can't be negative. ",IF(ROUND($G197,2)&lt;&gt;$G197,"Chemicals per visit: use up to 2 decimal places. ",IF($G197&gt;9999.99,"Chemicals per visit: use 9,999.99 or less. ","")))))&amp;IF($H197="","Other monthly costs is missing. ",IF(NOT(ISNUMBER($H197)),"Other monthly costs must be a number. ",IF($H197&lt;0,"Other monthly costs can't be negative. ",IF(ROUND($H197,2)&lt;&gt;$H197,"Other monthly costs: use up to 2 decimal places. ",IF($H197&gt;99999.99,"Other monthly costs: use 99,999.99 or less. ","")))))&amp;IF(SettingsOK,"","Settings incomplete.")))</f>
        <v/>
      </c>
      <c r="T197" s="23" t="str">
        <f aca="false">IF(AND($A197="",$B197="",$C197="",$D197="",$E197="",$F197="",$G197="",$H197=""),"",IF(Review!$B$5="Check inputs",IF($R197="Check inputs",ROW(),""),IF($R197="Check inputs",IF(Review!$B$5="All accounts",-2000000000000000+ROW(),""),IF(AND(Review!$B$5="Needs review",$R197="Meets your target"),"",IF($R197="No fee entered",-1000000000000000+ROW(),$N197/$B197+ROW()/1000000000)))))</f>
        <v/>
      </c>
    </row>
    <row r="198" customFormat="false" ht="15" hidden="false" customHeight="false" outlineLevel="0" collapsed="false">
      <c r="A198" s="14"/>
      <c r="B198" s="15"/>
      <c r="C198" s="16"/>
      <c r="D198" s="14"/>
      <c r="E198" s="14"/>
      <c r="F198" s="14"/>
      <c r="G198" s="15"/>
      <c r="H198" s="15"/>
      <c r="I198" s="17" t="str">
        <f aca="false">IF(OR(AND($A198="",$B198="",$C198="",$D198="",$E198="",$F198="",$G198="",$H198=""),NOT($S198="")),"",ROUND($C198*($D198+$E198)/60,4))</f>
        <v/>
      </c>
      <c r="J198" s="18" t="str">
        <f aca="false">IF(OR(AND($A198="",$B198="",$C198="",$D198="",$E198="",$F198="",$G198="",$H198=""),NOT($S198="")),"",ROUND(ROUND($C198*($D198+$E198)/60*$B$5,9),2))</f>
        <v/>
      </c>
      <c r="K198" s="18" t="str">
        <f aca="false">IF(OR(AND($A198="",$B198="",$C198="",$D198="",$E198="",$F198="",$G198="",$H198=""),NOT($S198="")),"",ROUND(ROUND($C198*$F198*$B$6,9),2))</f>
        <v/>
      </c>
      <c r="L198" s="18" t="str">
        <f aca="false">IF(OR(AND($A198="",$B198="",$C198="",$D198="",$E198="",$F198="",$G198="",$H198=""),NOT($S198="")),"",ROUND(ROUND($C198*$G198,9),2))</f>
        <v/>
      </c>
      <c r="M198" s="19" t="str">
        <f aca="false">IF(OR(AND($A198="",$B198="",$C198="",$D198="",$E198="",$F198="",$G198="",$H198=""),NOT($S198="")),"",ROUND($J198+$K198+$L198+$H198,2))</f>
        <v/>
      </c>
      <c r="N198" s="19" t="str">
        <f aca="false">IF(OR(AND($A198="",$B198="",$C198="",$D198="",$E198="",$F198="",$G198="",$H198=""),NOT($S198="")),"",ROUND($B198-$M198,2))</f>
        <v/>
      </c>
      <c r="O198" s="20" t="str">
        <f aca="false">IF(OR(AND($A198="",$B198="",$C198="",$D198="",$E198="",$F198="",$G198="",$H198=""),NOT($S198="")),"",IF($B198=0,"n/a",INT(ROUND($N198/$B198*10000,6))/10000))</f>
        <v/>
      </c>
      <c r="P198" s="18" t="str">
        <f aca="false">IF(OR(AND($A198="",$B198="",$C198="",$D198="",$E198="",$F198="",$G198="",$H198=""),NOT($S198="")),"",ROUNDUP(ROUND($M198*10000/(10000-TargetH),9),2))</f>
        <v/>
      </c>
      <c r="Q198" s="18" t="str">
        <f aca="false">IF(OR(AND($A198="",$B198="",$C198="",$D198="",$E198="",$F198="",$G198="",$H198=""),NOT($S198="")),"",MAX(0,ROUND($P198-$B198,2)))</f>
        <v/>
      </c>
      <c r="R198" s="21" t="str">
        <f aca="false">IF(AND($A198="",$B198="",$C198="",$D198="",$E198="",$F198="",$G198="",$H198=""),"",IF(NOT($S198=""),"Check inputs",IF($B198=0,"No fee entered",IF($N198&lt;0,"Losing money on entered costs",IF(ROUND($N198*100,0)*10000&lt;TargetH*ROUND($B198*100,0),"Below your target","Meets your target")))))</f>
        <v/>
      </c>
      <c r="S198" s="22" t="str">
        <f aca="false">IF(AND($A198="",$B198="",$C198="",$D198="",$E198="",$F198="",$G198="",$H198=""),"",TRIM(IF($A198="","Customer/site label is missing. ","")&amp;IF($B198="","Monthly fee is missing. ",IF(NOT(ISNUMBER($B198)),"Monthly fee must be a number. ",IF($B198&lt;0,"Monthly fee can't be negative. ",IF(ROUND($B198,2)&lt;&gt;$B198,"Monthly fee: use up to 2 decimal places. ",IF($B198&gt;99999.99,"Monthly fee: use 99,999.99 or less. ","")))))&amp;IF($C198="","Visits per month is missing. ",IF(NOT(ISNUMBER($C198)),"Visits per month must be a number. ",IF($C198&lt;0,"Visits per month can't be negative. ",IF(ROUND($C198,3)&lt;&gt;$C198,"Visits per month: use up to 3 decimal places. ",IF($C198=0,"Visits per month must be more than 0. ",IF($C198&gt;31,"Visits per month: use 31 or less. ",""))))))&amp;IF($D198="","Service minutes per visit is missing. ",IF(NOT(ISNUMBER($D198)),"Service minutes per visit must be a number. ",IF($D198&lt;0,"Service minutes per visit can't be negative. ",IF(ROUND($D198,2)&lt;&gt;$D198,"Service minutes per visit: use up to 2 decimal places. ",IF($D198=0,"Service minutes per visit must be more than 0. ",IF($D198&gt;600,"Service minutes per visit: use 600 or less. ",""))))))&amp;IF($E198="","Drive minutes per visit is missing. ",IF(NOT(ISNUMBER($E198)),"Drive minutes per visit must be a number. ",IF($E198&lt;0,"Drive minutes per visit can't be negative. ",IF(ROUND($E198,2)&lt;&gt;$E198,"Drive minutes per visit: use up to 2 decimal places. ",IF($E198&gt;600,"Drive minutes per visit: use 600 or less. ","")))))&amp;IF($F198="","Drive miles per visit is missing. ",IF(NOT(ISNUMBER($F198)),"Drive miles per visit must be a number. ",IF($F198&lt;0,"Drive miles per visit can't be negative. ",IF(ROUND($F198,2)&lt;&gt;$F198,"Drive miles per visit: use up to 2 decimal places. ",IF($F198&gt;1000,"Drive miles per visit: use 1,000 or less. ","")))))&amp;IF($G198="","Chemicals per visit is missing. ",IF(NOT(ISNUMBER($G198)),"Chemicals per visit must be a number. ",IF($G198&lt;0,"Chemicals per visit can't be negative. ",IF(ROUND($G198,2)&lt;&gt;$G198,"Chemicals per visit: use up to 2 decimal places. ",IF($G198&gt;9999.99,"Chemicals per visit: use 9,999.99 or less. ","")))))&amp;IF($H198="","Other monthly costs is missing. ",IF(NOT(ISNUMBER($H198)),"Other monthly costs must be a number. ",IF($H198&lt;0,"Other monthly costs can't be negative. ",IF(ROUND($H198,2)&lt;&gt;$H198,"Other monthly costs: use up to 2 decimal places. ",IF($H198&gt;99999.99,"Other monthly costs: use 99,999.99 or less. ","")))))&amp;IF(SettingsOK,"","Settings incomplete.")))</f>
        <v/>
      </c>
      <c r="T198" s="23" t="str">
        <f aca="false">IF(AND($A198="",$B198="",$C198="",$D198="",$E198="",$F198="",$G198="",$H198=""),"",IF(Review!$B$5="Check inputs",IF($R198="Check inputs",ROW(),""),IF($R198="Check inputs",IF(Review!$B$5="All accounts",-2000000000000000+ROW(),""),IF(AND(Review!$B$5="Needs review",$R198="Meets your target"),"",IF($R198="No fee entered",-1000000000000000+ROW(),$N198/$B198+ROW()/1000000000)))))</f>
        <v/>
      </c>
    </row>
    <row r="199" customFormat="false" ht="15" hidden="false" customHeight="false" outlineLevel="0" collapsed="false">
      <c r="A199" s="14"/>
      <c r="B199" s="15"/>
      <c r="C199" s="16"/>
      <c r="D199" s="14"/>
      <c r="E199" s="14"/>
      <c r="F199" s="14"/>
      <c r="G199" s="15"/>
      <c r="H199" s="15"/>
      <c r="I199" s="17" t="str">
        <f aca="false">IF(OR(AND($A199="",$B199="",$C199="",$D199="",$E199="",$F199="",$G199="",$H199=""),NOT($S199="")),"",ROUND($C199*($D199+$E199)/60,4))</f>
        <v/>
      </c>
      <c r="J199" s="18" t="str">
        <f aca="false">IF(OR(AND($A199="",$B199="",$C199="",$D199="",$E199="",$F199="",$G199="",$H199=""),NOT($S199="")),"",ROUND(ROUND($C199*($D199+$E199)/60*$B$5,9),2))</f>
        <v/>
      </c>
      <c r="K199" s="18" t="str">
        <f aca="false">IF(OR(AND($A199="",$B199="",$C199="",$D199="",$E199="",$F199="",$G199="",$H199=""),NOT($S199="")),"",ROUND(ROUND($C199*$F199*$B$6,9),2))</f>
        <v/>
      </c>
      <c r="L199" s="18" t="str">
        <f aca="false">IF(OR(AND($A199="",$B199="",$C199="",$D199="",$E199="",$F199="",$G199="",$H199=""),NOT($S199="")),"",ROUND(ROUND($C199*$G199,9),2))</f>
        <v/>
      </c>
      <c r="M199" s="19" t="str">
        <f aca="false">IF(OR(AND($A199="",$B199="",$C199="",$D199="",$E199="",$F199="",$G199="",$H199=""),NOT($S199="")),"",ROUND($J199+$K199+$L199+$H199,2))</f>
        <v/>
      </c>
      <c r="N199" s="19" t="str">
        <f aca="false">IF(OR(AND($A199="",$B199="",$C199="",$D199="",$E199="",$F199="",$G199="",$H199=""),NOT($S199="")),"",ROUND($B199-$M199,2))</f>
        <v/>
      </c>
      <c r="O199" s="20" t="str">
        <f aca="false">IF(OR(AND($A199="",$B199="",$C199="",$D199="",$E199="",$F199="",$G199="",$H199=""),NOT($S199="")),"",IF($B199=0,"n/a",INT(ROUND($N199/$B199*10000,6))/10000))</f>
        <v/>
      </c>
      <c r="P199" s="18" t="str">
        <f aca="false">IF(OR(AND($A199="",$B199="",$C199="",$D199="",$E199="",$F199="",$G199="",$H199=""),NOT($S199="")),"",ROUNDUP(ROUND($M199*10000/(10000-TargetH),9),2))</f>
        <v/>
      </c>
      <c r="Q199" s="18" t="str">
        <f aca="false">IF(OR(AND($A199="",$B199="",$C199="",$D199="",$E199="",$F199="",$G199="",$H199=""),NOT($S199="")),"",MAX(0,ROUND($P199-$B199,2)))</f>
        <v/>
      </c>
      <c r="R199" s="21" t="str">
        <f aca="false">IF(AND($A199="",$B199="",$C199="",$D199="",$E199="",$F199="",$G199="",$H199=""),"",IF(NOT($S199=""),"Check inputs",IF($B199=0,"No fee entered",IF($N199&lt;0,"Losing money on entered costs",IF(ROUND($N199*100,0)*10000&lt;TargetH*ROUND($B199*100,0),"Below your target","Meets your target")))))</f>
        <v/>
      </c>
      <c r="S199" s="22" t="str">
        <f aca="false">IF(AND($A199="",$B199="",$C199="",$D199="",$E199="",$F199="",$G199="",$H199=""),"",TRIM(IF($A199="","Customer/site label is missing. ","")&amp;IF($B199="","Monthly fee is missing. ",IF(NOT(ISNUMBER($B199)),"Monthly fee must be a number. ",IF($B199&lt;0,"Monthly fee can't be negative. ",IF(ROUND($B199,2)&lt;&gt;$B199,"Monthly fee: use up to 2 decimal places. ",IF($B199&gt;99999.99,"Monthly fee: use 99,999.99 or less. ","")))))&amp;IF($C199="","Visits per month is missing. ",IF(NOT(ISNUMBER($C199)),"Visits per month must be a number. ",IF($C199&lt;0,"Visits per month can't be negative. ",IF(ROUND($C199,3)&lt;&gt;$C199,"Visits per month: use up to 3 decimal places. ",IF($C199=0,"Visits per month must be more than 0. ",IF($C199&gt;31,"Visits per month: use 31 or less. ",""))))))&amp;IF($D199="","Service minutes per visit is missing. ",IF(NOT(ISNUMBER($D199)),"Service minutes per visit must be a number. ",IF($D199&lt;0,"Service minutes per visit can't be negative. ",IF(ROUND($D199,2)&lt;&gt;$D199,"Service minutes per visit: use up to 2 decimal places. ",IF($D199=0,"Service minutes per visit must be more than 0. ",IF($D199&gt;600,"Service minutes per visit: use 600 or less. ",""))))))&amp;IF($E199="","Drive minutes per visit is missing. ",IF(NOT(ISNUMBER($E199)),"Drive minutes per visit must be a number. ",IF($E199&lt;0,"Drive minutes per visit can't be negative. ",IF(ROUND($E199,2)&lt;&gt;$E199,"Drive minutes per visit: use up to 2 decimal places. ",IF($E199&gt;600,"Drive minutes per visit: use 600 or less. ","")))))&amp;IF($F199="","Drive miles per visit is missing. ",IF(NOT(ISNUMBER($F199)),"Drive miles per visit must be a number. ",IF($F199&lt;0,"Drive miles per visit can't be negative. ",IF(ROUND($F199,2)&lt;&gt;$F199,"Drive miles per visit: use up to 2 decimal places. ",IF($F199&gt;1000,"Drive miles per visit: use 1,000 or less. ","")))))&amp;IF($G199="","Chemicals per visit is missing. ",IF(NOT(ISNUMBER($G199)),"Chemicals per visit must be a number. ",IF($G199&lt;0,"Chemicals per visit can't be negative. ",IF(ROUND($G199,2)&lt;&gt;$G199,"Chemicals per visit: use up to 2 decimal places. ",IF($G199&gt;9999.99,"Chemicals per visit: use 9,999.99 or less. ","")))))&amp;IF($H199="","Other monthly costs is missing. ",IF(NOT(ISNUMBER($H199)),"Other monthly costs must be a number. ",IF($H199&lt;0,"Other monthly costs can't be negative. ",IF(ROUND($H199,2)&lt;&gt;$H199,"Other monthly costs: use up to 2 decimal places. ",IF($H199&gt;99999.99,"Other monthly costs: use 99,999.99 or less. ","")))))&amp;IF(SettingsOK,"","Settings incomplete.")))</f>
        <v/>
      </c>
      <c r="T199" s="23" t="str">
        <f aca="false">IF(AND($A199="",$B199="",$C199="",$D199="",$E199="",$F199="",$G199="",$H199=""),"",IF(Review!$B$5="Check inputs",IF($R199="Check inputs",ROW(),""),IF($R199="Check inputs",IF(Review!$B$5="All accounts",-2000000000000000+ROW(),""),IF(AND(Review!$B$5="Needs review",$R199="Meets your target"),"",IF($R199="No fee entered",-1000000000000000+ROW(),$N199/$B199+ROW()/1000000000)))))</f>
        <v/>
      </c>
    </row>
    <row r="200" customFormat="false" ht="15" hidden="false" customHeight="false" outlineLevel="0" collapsed="false">
      <c r="A200" s="14"/>
      <c r="B200" s="15"/>
      <c r="C200" s="16"/>
      <c r="D200" s="14"/>
      <c r="E200" s="14"/>
      <c r="F200" s="14"/>
      <c r="G200" s="15"/>
      <c r="H200" s="15"/>
      <c r="I200" s="17" t="str">
        <f aca="false">IF(OR(AND($A200="",$B200="",$C200="",$D200="",$E200="",$F200="",$G200="",$H200=""),NOT($S200="")),"",ROUND($C200*($D200+$E200)/60,4))</f>
        <v/>
      </c>
      <c r="J200" s="18" t="str">
        <f aca="false">IF(OR(AND($A200="",$B200="",$C200="",$D200="",$E200="",$F200="",$G200="",$H200=""),NOT($S200="")),"",ROUND(ROUND($C200*($D200+$E200)/60*$B$5,9),2))</f>
        <v/>
      </c>
      <c r="K200" s="18" t="str">
        <f aca="false">IF(OR(AND($A200="",$B200="",$C200="",$D200="",$E200="",$F200="",$G200="",$H200=""),NOT($S200="")),"",ROUND(ROUND($C200*$F200*$B$6,9),2))</f>
        <v/>
      </c>
      <c r="L200" s="18" t="str">
        <f aca="false">IF(OR(AND($A200="",$B200="",$C200="",$D200="",$E200="",$F200="",$G200="",$H200=""),NOT($S200="")),"",ROUND(ROUND($C200*$G200,9),2))</f>
        <v/>
      </c>
      <c r="M200" s="19" t="str">
        <f aca="false">IF(OR(AND($A200="",$B200="",$C200="",$D200="",$E200="",$F200="",$G200="",$H200=""),NOT($S200="")),"",ROUND($J200+$K200+$L200+$H200,2))</f>
        <v/>
      </c>
      <c r="N200" s="19" t="str">
        <f aca="false">IF(OR(AND($A200="",$B200="",$C200="",$D200="",$E200="",$F200="",$G200="",$H200=""),NOT($S200="")),"",ROUND($B200-$M200,2))</f>
        <v/>
      </c>
      <c r="O200" s="20" t="str">
        <f aca="false">IF(OR(AND($A200="",$B200="",$C200="",$D200="",$E200="",$F200="",$G200="",$H200=""),NOT($S200="")),"",IF($B200=0,"n/a",INT(ROUND($N200/$B200*10000,6))/10000))</f>
        <v/>
      </c>
      <c r="P200" s="18" t="str">
        <f aca="false">IF(OR(AND($A200="",$B200="",$C200="",$D200="",$E200="",$F200="",$G200="",$H200=""),NOT($S200="")),"",ROUNDUP(ROUND($M200*10000/(10000-TargetH),9),2))</f>
        <v/>
      </c>
      <c r="Q200" s="18" t="str">
        <f aca="false">IF(OR(AND($A200="",$B200="",$C200="",$D200="",$E200="",$F200="",$G200="",$H200=""),NOT($S200="")),"",MAX(0,ROUND($P200-$B200,2)))</f>
        <v/>
      </c>
      <c r="R200" s="21" t="str">
        <f aca="false">IF(AND($A200="",$B200="",$C200="",$D200="",$E200="",$F200="",$G200="",$H200=""),"",IF(NOT($S200=""),"Check inputs",IF($B200=0,"No fee entered",IF($N200&lt;0,"Losing money on entered costs",IF(ROUND($N200*100,0)*10000&lt;TargetH*ROUND($B200*100,0),"Below your target","Meets your target")))))</f>
        <v/>
      </c>
      <c r="S200" s="22" t="str">
        <f aca="false">IF(AND($A200="",$B200="",$C200="",$D200="",$E200="",$F200="",$G200="",$H200=""),"",TRIM(IF($A200="","Customer/site label is missing. ","")&amp;IF($B200="","Monthly fee is missing. ",IF(NOT(ISNUMBER($B200)),"Monthly fee must be a number. ",IF($B200&lt;0,"Monthly fee can't be negative. ",IF(ROUND($B200,2)&lt;&gt;$B200,"Monthly fee: use up to 2 decimal places. ",IF($B200&gt;99999.99,"Monthly fee: use 99,999.99 or less. ","")))))&amp;IF($C200="","Visits per month is missing. ",IF(NOT(ISNUMBER($C200)),"Visits per month must be a number. ",IF($C200&lt;0,"Visits per month can't be negative. ",IF(ROUND($C200,3)&lt;&gt;$C200,"Visits per month: use up to 3 decimal places. ",IF($C200=0,"Visits per month must be more than 0. ",IF($C200&gt;31,"Visits per month: use 31 or less. ",""))))))&amp;IF($D200="","Service minutes per visit is missing. ",IF(NOT(ISNUMBER($D200)),"Service minutes per visit must be a number. ",IF($D200&lt;0,"Service minutes per visit can't be negative. ",IF(ROUND($D200,2)&lt;&gt;$D200,"Service minutes per visit: use up to 2 decimal places. ",IF($D200=0,"Service minutes per visit must be more than 0. ",IF($D200&gt;600,"Service minutes per visit: use 600 or less. ",""))))))&amp;IF($E200="","Drive minutes per visit is missing. ",IF(NOT(ISNUMBER($E200)),"Drive minutes per visit must be a number. ",IF($E200&lt;0,"Drive minutes per visit can't be negative. ",IF(ROUND($E200,2)&lt;&gt;$E200,"Drive minutes per visit: use up to 2 decimal places. ",IF($E200&gt;600,"Drive minutes per visit: use 600 or less. ","")))))&amp;IF($F200="","Drive miles per visit is missing. ",IF(NOT(ISNUMBER($F200)),"Drive miles per visit must be a number. ",IF($F200&lt;0,"Drive miles per visit can't be negative. ",IF(ROUND($F200,2)&lt;&gt;$F200,"Drive miles per visit: use up to 2 decimal places. ",IF($F200&gt;1000,"Drive miles per visit: use 1,000 or less. ","")))))&amp;IF($G200="","Chemicals per visit is missing. ",IF(NOT(ISNUMBER($G200)),"Chemicals per visit must be a number. ",IF($G200&lt;0,"Chemicals per visit can't be negative. ",IF(ROUND($G200,2)&lt;&gt;$G200,"Chemicals per visit: use up to 2 decimal places. ",IF($G200&gt;9999.99,"Chemicals per visit: use 9,999.99 or less. ","")))))&amp;IF($H200="","Other monthly costs is missing. ",IF(NOT(ISNUMBER($H200)),"Other monthly costs must be a number. ",IF($H200&lt;0,"Other monthly costs can't be negative. ",IF(ROUND($H200,2)&lt;&gt;$H200,"Other monthly costs: use up to 2 decimal places. ",IF($H200&gt;99999.99,"Other monthly costs: use 99,999.99 or less. ","")))))&amp;IF(SettingsOK,"","Settings incomplete.")))</f>
        <v/>
      </c>
      <c r="T200" s="23" t="str">
        <f aca="false">IF(AND($A200="",$B200="",$C200="",$D200="",$E200="",$F200="",$G200="",$H200=""),"",IF(Review!$B$5="Check inputs",IF($R200="Check inputs",ROW(),""),IF($R200="Check inputs",IF(Review!$B$5="All accounts",-2000000000000000+ROW(),""),IF(AND(Review!$B$5="Needs review",$R200="Meets your target"),"",IF($R200="No fee entered",-1000000000000000+ROW(),$N200/$B200+ROW()/1000000000)))))</f>
        <v/>
      </c>
    </row>
    <row r="201" customFormat="false" ht="15" hidden="false" customHeight="false" outlineLevel="0" collapsed="false">
      <c r="A201" s="14"/>
      <c r="B201" s="15"/>
      <c r="C201" s="16"/>
      <c r="D201" s="14"/>
      <c r="E201" s="14"/>
      <c r="F201" s="14"/>
      <c r="G201" s="15"/>
      <c r="H201" s="15"/>
      <c r="I201" s="17" t="str">
        <f aca="false">IF(OR(AND($A201="",$B201="",$C201="",$D201="",$E201="",$F201="",$G201="",$H201=""),NOT($S201="")),"",ROUND($C201*($D201+$E201)/60,4))</f>
        <v/>
      </c>
      <c r="J201" s="18" t="str">
        <f aca="false">IF(OR(AND($A201="",$B201="",$C201="",$D201="",$E201="",$F201="",$G201="",$H201=""),NOT($S201="")),"",ROUND(ROUND($C201*($D201+$E201)/60*$B$5,9),2))</f>
        <v/>
      </c>
      <c r="K201" s="18" t="str">
        <f aca="false">IF(OR(AND($A201="",$B201="",$C201="",$D201="",$E201="",$F201="",$G201="",$H201=""),NOT($S201="")),"",ROUND(ROUND($C201*$F201*$B$6,9),2))</f>
        <v/>
      </c>
      <c r="L201" s="18" t="str">
        <f aca="false">IF(OR(AND($A201="",$B201="",$C201="",$D201="",$E201="",$F201="",$G201="",$H201=""),NOT($S201="")),"",ROUND(ROUND($C201*$G201,9),2))</f>
        <v/>
      </c>
      <c r="M201" s="19" t="str">
        <f aca="false">IF(OR(AND($A201="",$B201="",$C201="",$D201="",$E201="",$F201="",$G201="",$H201=""),NOT($S201="")),"",ROUND($J201+$K201+$L201+$H201,2))</f>
        <v/>
      </c>
      <c r="N201" s="19" t="str">
        <f aca="false">IF(OR(AND($A201="",$B201="",$C201="",$D201="",$E201="",$F201="",$G201="",$H201=""),NOT($S201="")),"",ROUND($B201-$M201,2))</f>
        <v/>
      </c>
      <c r="O201" s="20" t="str">
        <f aca="false">IF(OR(AND($A201="",$B201="",$C201="",$D201="",$E201="",$F201="",$G201="",$H201=""),NOT($S201="")),"",IF($B201=0,"n/a",INT(ROUND($N201/$B201*10000,6))/10000))</f>
        <v/>
      </c>
      <c r="P201" s="18" t="str">
        <f aca="false">IF(OR(AND($A201="",$B201="",$C201="",$D201="",$E201="",$F201="",$G201="",$H201=""),NOT($S201="")),"",ROUNDUP(ROUND($M201*10000/(10000-TargetH),9),2))</f>
        <v/>
      </c>
      <c r="Q201" s="18" t="str">
        <f aca="false">IF(OR(AND($A201="",$B201="",$C201="",$D201="",$E201="",$F201="",$G201="",$H201=""),NOT($S201="")),"",MAX(0,ROUND($P201-$B201,2)))</f>
        <v/>
      </c>
      <c r="R201" s="21" t="str">
        <f aca="false">IF(AND($A201="",$B201="",$C201="",$D201="",$E201="",$F201="",$G201="",$H201=""),"",IF(NOT($S201=""),"Check inputs",IF($B201=0,"No fee entered",IF($N201&lt;0,"Losing money on entered costs",IF(ROUND($N201*100,0)*10000&lt;TargetH*ROUND($B201*100,0),"Below your target","Meets your target")))))</f>
        <v/>
      </c>
      <c r="S201" s="22" t="str">
        <f aca="false">IF(AND($A201="",$B201="",$C201="",$D201="",$E201="",$F201="",$G201="",$H201=""),"",TRIM(IF($A201="","Customer/site label is missing. ","")&amp;IF($B201="","Monthly fee is missing. ",IF(NOT(ISNUMBER($B201)),"Monthly fee must be a number. ",IF($B201&lt;0,"Monthly fee can't be negative. ",IF(ROUND($B201,2)&lt;&gt;$B201,"Monthly fee: use up to 2 decimal places. ",IF($B201&gt;99999.99,"Monthly fee: use 99,999.99 or less. ","")))))&amp;IF($C201="","Visits per month is missing. ",IF(NOT(ISNUMBER($C201)),"Visits per month must be a number. ",IF($C201&lt;0,"Visits per month can't be negative. ",IF(ROUND($C201,3)&lt;&gt;$C201,"Visits per month: use up to 3 decimal places. ",IF($C201=0,"Visits per month must be more than 0. ",IF($C201&gt;31,"Visits per month: use 31 or less. ",""))))))&amp;IF($D201="","Service minutes per visit is missing. ",IF(NOT(ISNUMBER($D201)),"Service minutes per visit must be a number. ",IF($D201&lt;0,"Service minutes per visit can't be negative. ",IF(ROUND($D201,2)&lt;&gt;$D201,"Service minutes per visit: use up to 2 decimal places. ",IF($D201=0,"Service minutes per visit must be more than 0. ",IF($D201&gt;600,"Service minutes per visit: use 600 or less. ",""))))))&amp;IF($E201="","Drive minutes per visit is missing. ",IF(NOT(ISNUMBER($E201)),"Drive minutes per visit must be a number. ",IF($E201&lt;0,"Drive minutes per visit can't be negative. ",IF(ROUND($E201,2)&lt;&gt;$E201,"Drive minutes per visit: use up to 2 decimal places. ",IF($E201&gt;600,"Drive minutes per visit: use 600 or less. ","")))))&amp;IF($F201="","Drive miles per visit is missing. ",IF(NOT(ISNUMBER($F201)),"Drive miles per visit must be a number. ",IF($F201&lt;0,"Drive miles per visit can't be negative. ",IF(ROUND($F201,2)&lt;&gt;$F201,"Drive miles per visit: use up to 2 decimal places. ",IF($F201&gt;1000,"Drive miles per visit: use 1,000 or less. ","")))))&amp;IF($G201="","Chemicals per visit is missing. ",IF(NOT(ISNUMBER($G201)),"Chemicals per visit must be a number. ",IF($G201&lt;0,"Chemicals per visit can't be negative. ",IF(ROUND($G201,2)&lt;&gt;$G201,"Chemicals per visit: use up to 2 decimal places. ",IF($G201&gt;9999.99,"Chemicals per visit: use 9,999.99 or less. ","")))))&amp;IF($H201="","Other monthly costs is missing. ",IF(NOT(ISNUMBER($H201)),"Other monthly costs must be a number. ",IF($H201&lt;0,"Other monthly costs can't be negative. ",IF(ROUND($H201,2)&lt;&gt;$H201,"Other monthly costs: use up to 2 decimal places. ",IF($H201&gt;99999.99,"Other monthly costs: use 99,999.99 or less. ","")))))&amp;IF(SettingsOK,"","Settings incomplete.")))</f>
        <v/>
      </c>
      <c r="T201" s="23" t="str">
        <f aca="false">IF(AND($A201="",$B201="",$C201="",$D201="",$E201="",$F201="",$G201="",$H201=""),"",IF(Review!$B$5="Check inputs",IF($R201="Check inputs",ROW(),""),IF($R201="Check inputs",IF(Review!$B$5="All accounts",-2000000000000000+ROW(),""),IF(AND(Review!$B$5="Needs review",$R201="Meets your target"),"",IF($R201="No fee entered",-1000000000000000+ROW(),$N201/$B201+ROW()/1000000000)))))</f>
        <v/>
      </c>
    </row>
    <row r="202" customFormat="false" ht="15" hidden="false" customHeight="false" outlineLevel="0" collapsed="false">
      <c r="A202" s="14"/>
      <c r="B202" s="15"/>
      <c r="C202" s="16"/>
      <c r="D202" s="14"/>
      <c r="E202" s="14"/>
      <c r="F202" s="14"/>
      <c r="G202" s="15"/>
      <c r="H202" s="15"/>
      <c r="I202" s="17" t="str">
        <f aca="false">IF(OR(AND($A202="",$B202="",$C202="",$D202="",$E202="",$F202="",$G202="",$H202=""),NOT($S202="")),"",ROUND($C202*($D202+$E202)/60,4))</f>
        <v/>
      </c>
      <c r="J202" s="18" t="str">
        <f aca="false">IF(OR(AND($A202="",$B202="",$C202="",$D202="",$E202="",$F202="",$G202="",$H202=""),NOT($S202="")),"",ROUND(ROUND($C202*($D202+$E202)/60*$B$5,9),2))</f>
        <v/>
      </c>
      <c r="K202" s="18" t="str">
        <f aca="false">IF(OR(AND($A202="",$B202="",$C202="",$D202="",$E202="",$F202="",$G202="",$H202=""),NOT($S202="")),"",ROUND(ROUND($C202*$F202*$B$6,9),2))</f>
        <v/>
      </c>
      <c r="L202" s="18" t="str">
        <f aca="false">IF(OR(AND($A202="",$B202="",$C202="",$D202="",$E202="",$F202="",$G202="",$H202=""),NOT($S202="")),"",ROUND(ROUND($C202*$G202,9),2))</f>
        <v/>
      </c>
      <c r="M202" s="19" t="str">
        <f aca="false">IF(OR(AND($A202="",$B202="",$C202="",$D202="",$E202="",$F202="",$G202="",$H202=""),NOT($S202="")),"",ROUND($J202+$K202+$L202+$H202,2))</f>
        <v/>
      </c>
      <c r="N202" s="19" t="str">
        <f aca="false">IF(OR(AND($A202="",$B202="",$C202="",$D202="",$E202="",$F202="",$G202="",$H202=""),NOT($S202="")),"",ROUND($B202-$M202,2))</f>
        <v/>
      </c>
      <c r="O202" s="20" t="str">
        <f aca="false">IF(OR(AND($A202="",$B202="",$C202="",$D202="",$E202="",$F202="",$G202="",$H202=""),NOT($S202="")),"",IF($B202=0,"n/a",INT(ROUND($N202/$B202*10000,6))/10000))</f>
        <v/>
      </c>
      <c r="P202" s="18" t="str">
        <f aca="false">IF(OR(AND($A202="",$B202="",$C202="",$D202="",$E202="",$F202="",$G202="",$H202=""),NOT($S202="")),"",ROUNDUP(ROUND($M202*10000/(10000-TargetH),9),2))</f>
        <v/>
      </c>
      <c r="Q202" s="18" t="str">
        <f aca="false">IF(OR(AND($A202="",$B202="",$C202="",$D202="",$E202="",$F202="",$G202="",$H202=""),NOT($S202="")),"",MAX(0,ROUND($P202-$B202,2)))</f>
        <v/>
      </c>
      <c r="R202" s="21" t="str">
        <f aca="false">IF(AND($A202="",$B202="",$C202="",$D202="",$E202="",$F202="",$G202="",$H202=""),"",IF(NOT($S202=""),"Check inputs",IF($B202=0,"No fee entered",IF($N202&lt;0,"Losing money on entered costs",IF(ROUND($N202*100,0)*10000&lt;TargetH*ROUND($B202*100,0),"Below your target","Meets your target")))))</f>
        <v/>
      </c>
      <c r="S202" s="22" t="str">
        <f aca="false">IF(AND($A202="",$B202="",$C202="",$D202="",$E202="",$F202="",$G202="",$H202=""),"",TRIM(IF($A202="","Customer/site label is missing. ","")&amp;IF($B202="","Monthly fee is missing. ",IF(NOT(ISNUMBER($B202)),"Monthly fee must be a number. ",IF($B202&lt;0,"Monthly fee can't be negative. ",IF(ROUND($B202,2)&lt;&gt;$B202,"Monthly fee: use up to 2 decimal places. ",IF($B202&gt;99999.99,"Monthly fee: use 99,999.99 or less. ","")))))&amp;IF($C202="","Visits per month is missing. ",IF(NOT(ISNUMBER($C202)),"Visits per month must be a number. ",IF($C202&lt;0,"Visits per month can't be negative. ",IF(ROUND($C202,3)&lt;&gt;$C202,"Visits per month: use up to 3 decimal places. ",IF($C202=0,"Visits per month must be more than 0. ",IF($C202&gt;31,"Visits per month: use 31 or less. ",""))))))&amp;IF($D202="","Service minutes per visit is missing. ",IF(NOT(ISNUMBER($D202)),"Service minutes per visit must be a number. ",IF($D202&lt;0,"Service minutes per visit can't be negative. ",IF(ROUND($D202,2)&lt;&gt;$D202,"Service minutes per visit: use up to 2 decimal places. ",IF($D202=0,"Service minutes per visit must be more than 0. ",IF($D202&gt;600,"Service minutes per visit: use 600 or less. ",""))))))&amp;IF($E202="","Drive minutes per visit is missing. ",IF(NOT(ISNUMBER($E202)),"Drive minutes per visit must be a number. ",IF($E202&lt;0,"Drive minutes per visit can't be negative. ",IF(ROUND($E202,2)&lt;&gt;$E202,"Drive minutes per visit: use up to 2 decimal places. ",IF($E202&gt;600,"Drive minutes per visit: use 600 or less. ","")))))&amp;IF($F202="","Drive miles per visit is missing. ",IF(NOT(ISNUMBER($F202)),"Drive miles per visit must be a number. ",IF($F202&lt;0,"Drive miles per visit can't be negative. ",IF(ROUND($F202,2)&lt;&gt;$F202,"Drive miles per visit: use up to 2 decimal places. ",IF($F202&gt;1000,"Drive miles per visit: use 1,000 or less. ","")))))&amp;IF($G202="","Chemicals per visit is missing. ",IF(NOT(ISNUMBER($G202)),"Chemicals per visit must be a number. ",IF($G202&lt;0,"Chemicals per visit can't be negative. ",IF(ROUND($G202,2)&lt;&gt;$G202,"Chemicals per visit: use up to 2 decimal places. ",IF($G202&gt;9999.99,"Chemicals per visit: use 9,999.99 or less. ","")))))&amp;IF($H202="","Other monthly costs is missing. ",IF(NOT(ISNUMBER($H202)),"Other monthly costs must be a number. ",IF($H202&lt;0,"Other monthly costs can't be negative. ",IF(ROUND($H202,2)&lt;&gt;$H202,"Other monthly costs: use up to 2 decimal places. ",IF($H202&gt;99999.99,"Other monthly costs: use 99,999.99 or less. ","")))))&amp;IF(SettingsOK,"","Settings incomplete.")))</f>
        <v/>
      </c>
      <c r="T202" s="23" t="str">
        <f aca="false">IF(AND($A202="",$B202="",$C202="",$D202="",$E202="",$F202="",$G202="",$H202=""),"",IF(Review!$B$5="Check inputs",IF($R202="Check inputs",ROW(),""),IF($R202="Check inputs",IF(Review!$B$5="All accounts",-2000000000000000+ROW(),""),IF(AND(Review!$B$5="Needs review",$R202="Meets your target"),"",IF($R202="No fee entered",-1000000000000000+ROW(),$N202/$B202+ROW()/1000000000)))))</f>
        <v/>
      </c>
    </row>
    <row r="203" customFormat="false" ht="15" hidden="false" customHeight="false" outlineLevel="0" collapsed="false">
      <c r="A203" s="14"/>
      <c r="B203" s="15"/>
      <c r="C203" s="16"/>
      <c r="D203" s="14"/>
      <c r="E203" s="14"/>
      <c r="F203" s="14"/>
      <c r="G203" s="15"/>
      <c r="H203" s="15"/>
      <c r="I203" s="17" t="str">
        <f aca="false">IF(OR(AND($A203="",$B203="",$C203="",$D203="",$E203="",$F203="",$G203="",$H203=""),NOT($S203="")),"",ROUND($C203*($D203+$E203)/60,4))</f>
        <v/>
      </c>
      <c r="J203" s="18" t="str">
        <f aca="false">IF(OR(AND($A203="",$B203="",$C203="",$D203="",$E203="",$F203="",$G203="",$H203=""),NOT($S203="")),"",ROUND(ROUND($C203*($D203+$E203)/60*$B$5,9),2))</f>
        <v/>
      </c>
      <c r="K203" s="18" t="str">
        <f aca="false">IF(OR(AND($A203="",$B203="",$C203="",$D203="",$E203="",$F203="",$G203="",$H203=""),NOT($S203="")),"",ROUND(ROUND($C203*$F203*$B$6,9),2))</f>
        <v/>
      </c>
      <c r="L203" s="18" t="str">
        <f aca="false">IF(OR(AND($A203="",$B203="",$C203="",$D203="",$E203="",$F203="",$G203="",$H203=""),NOT($S203="")),"",ROUND(ROUND($C203*$G203,9),2))</f>
        <v/>
      </c>
      <c r="M203" s="19" t="str">
        <f aca="false">IF(OR(AND($A203="",$B203="",$C203="",$D203="",$E203="",$F203="",$G203="",$H203=""),NOT($S203="")),"",ROUND($J203+$K203+$L203+$H203,2))</f>
        <v/>
      </c>
      <c r="N203" s="19" t="str">
        <f aca="false">IF(OR(AND($A203="",$B203="",$C203="",$D203="",$E203="",$F203="",$G203="",$H203=""),NOT($S203="")),"",ROUND($B203-$M203,2))</f>
        <v/>
      </c>
      <c r="O203" s="20" t="str">
        <f aca="false">IF(OR(AND($A203="",$B203="",$C203="",$D203="",$E203="",$F203="",$G203="",$H203=""),NOT($S203="")),"",IF($B203=0,"n/a",INT(ROUND($N203/$B203*10000,6))/10000))</f>
        <v/>
      </c>
      <c r="P203" s="18" t="str">
        <f aca="false">IF(OR(AND($A203="",$B203="",$C203="",$D203="",$E203="",$F203="",$G203="",$H203=""),NOT($S203="")),"",ROUNDUP(ROUND($M203*10000/(10000-TargetH),9),2))</f>
        <v/>
      </c>
      <c r="Q203" s="18" t="str">
        <f aca="false">IF(OR(AND($A203="",$B203="",$C203="",$D203="",$E203="",$F203="",$G203="",$H203=""),NOT($S203="")),"",MAX(0,ROUND($P203-$B203,2)))</f>
        <v/>
      </c>
      <c r="R203" s="21" t="str">
        <f aca="false">IF(AND($A203="",$B203="",$C203="",$D203="",$E203="",$F203="",$G203="",$H203=""),"",IF(NOT($S203=""),"Check inputs",IF($B203=0,"No fee entered",IF($N203&lt;0,"Losing money on entered costs",IF(ROUND($N203*100,0)*10000&lt;TargetH*ROUND($B203*100,0),"Below your target","Meets your target")))))</f>
        <v/>
      </c>
      <c r="S203" s="22" t="str">
        <f aca="false">IF(AND($A203="",$B203="",$C203="",$D203="",$E203="",$F203="",$G203="",$H203=""),"",TRIM(IF($A203="","Customer/site label is missing. ","")&amp;IF($B203="","Monthly fee is missing. ",IF(NOT(ISNUMBER($B203)),"Monthly fee must be a number. ",IF($B203&lt;0,"Monthly fee can't be negative. ",IF(ROUND($B203,2)&lt;&gt;$B203,"Monthly fee: use up to 2 decimal places. ",IF($B203&gt;99999.99,"Monthly fee: use 99,999.99 or less. ","")))))&amp;IF($C203="","Visits per month is missing. ",IF(NOT(ISNUMBER($C203)),"Visits per month must be a number. ",IF($C203&lt;0,"Visits per month can't be negative. ",IF(ROUND($C203,3)&lt;&gt;$C203,"Visits per month: use up to 3 decimal places. ",IF($C203=0,"Visits per month must be more than 0. ",IF($C203&gt;31,"Visits per month: use 31 or less. ",""))))))&amp;IF($D203="","Service minutes per visit is missing. ",IF(NOT(ISNUMBER($D203)),"Service minutes per visit must be a number. ",IF($D203&lt;0,"Service minutes per visit can't be negative. ",IF(ROUND($D203,2)&lt;&gt;$D203,"Service minutes per visit: use up to 2 decimal places. ",IF($D203=0,"Service minutes per visit must be more than 0. ",IF($D203&gt;600,"Service minutes per visit: use 600 or less. ",""))))))&amp;IF($E203="","Drive minutes per visit is missing. ",IF(NOT(ISNUMBER($E203)),"Drive minutes per visit must be a number. ",IF($E203&lt;0,"Drive minutes per visit can't be negative. ",IF(ROUND($E203,2)&lt;&gt;$E203,"Drive minutes per visit: use up to 2 decimal places. ",IF($E203&gt;600,"Drive minutes per visit: use 600 or less. ","")))))&amp;IF($F203="","Drive miles per visit is missing. ",IF(NOT(ISNUMBER($F203)),"Drive miles per visit must be a number. ",IF($F203&lt;0,"Drive miles per visit can't be negative. ",IF(ROUND($F203,2)&lt;&gt;$F203,"Drive miles per visit: use up to 2 decimal places. ",IF($F203&gt;1000,"Drive miles per visit: use 1,000 or less. ","")))))&amp;IF($G203="","Chemicals per visit is missing. ",IF(NOT(ISNUMBER($G203)),"Chemicals per visit must be a number. ",IF($G203&lt;0,"Chemicals per visit can't be negative. ",IF(ROUND($G203,2)&lt;&gt;$G203,"Chemicals per visit: use up to 2 decimal places. ",IF($G203&gt;9999.99,"Chemicals per visit: use 9,999.99 or less. ","")))))&amp;IF($H203="","Other monthly costs is missing. ",IF(NOT(ISNUMBER($H203)),"Other monthly costs must be a number. ",IF($H203&lt;0,"Other monthly costs can't be negative. ",IF(ROUND($H203,2)&lt;&gt;$H203,"Other monthly costs: use up to 2 decimal places. ",IF($H203&gt;99999.99,"Other monthly costs: use 99,999.99 or less. ","")))))&amp;IF(SettingsOK,"","Settings incomplete.")))</f>
        <v/>
      </c>
      <c r="T203" s="23" t="str">
        <f aca="false">IF(AND($A203="",$B203="",$C203="",$D203="",$E203="",$F203="",$G203="",$H203=""),"",IF(Review!$B$5="Check inputs",IF($R203="Check inputs",ROW(),""),IF($R203="Check inputs",IF(Review!$B$5="All accounts",-2000000000000000+ROW(),""),IF(AND(Review!$B$5="Needs review",$R203="Meets your target"),"",IF($R203="No fee entered",-1000000000000000+ROW(),$N203/$B203+ROW()/1000000000)))))</f>
        <v/>
      </c>
    </row>
    <row r="204" customFormat="false" ht="15" hidden="false" customHeight="false" outlineLevel="0" collapsed="false">
      <c r="A204" s="14"/>
      <c r="B204" s="15"/>
      <c r="C204" s="16"/>
      <c r="D204" s="14"/>
      <c r="E204" s="14"/>
      <c r="F204" s="14"/>
      <c r="G204" s="15"/>
      <c r="H204" s="15"/>
      <c r="I204" s="17" t="str">
        <f aca="false">IF(OR(AND($A204="",$B204="",$C204="",$D204="",$E204="",$F204="",$G204="",$H204=""),NOT($S204="")),"",ROUND($C204*($D204+$E204)/60,4))</f>
        <v/>
      </c>
      <c r="J204" s="18" t="str">
        <f aca="false">IF(OR(AND($A204="",$B204="",$C204="",$D204="",$E204="",$F204="",$G204="",$H204=""),NOT($S204="")),"",ROUND(ROUND($C204*($D204+$E204)/60*$B$5,9),2))</f>
        <v/>
      </c>
      <c r="K204" s="18" t="str">
        <f aca="false">IF(OR(AND($A204="",$B204="",$C204="",$D204="",$E204="",$F204="",$G204="",$H204=""),NOT($S204="")),"",ROUND(ROUND($C204*$F204*$B$6,9),2))</f>
        <v/>
      </c>
      <c r="L204" s="18" t="str">
        <f aca="false">IF(OR(AND($A204="",$B204="",$C204="",$D204="",$E204="",$F204="",$G204="",$H204=""),NOT($S204="")),"",ROUND(ROUND($C204*$G204,9),2))</f>
        <v/>
      </c>
      <c r="M204" s="19" t="str">
        <f aca="false">IF(OR(AND($A204="",$B204="",$C204="",$D204="",$E204="",$F204="",$G204="",$H204=""),NOT($S204="")),"",ROUND($J204+$K204+$L204+$H204,2))</f>
        <v/>
      </c>
      <c r="N204" s="19" t="str">
        <f aca="false">IF(OR(AND($A204="",$B204="",$C204="",$D204="",$E204="",$F204="",$G204="",$H204=""),NOT($S204="")),"",ROUND($B204-$M204,2))</f>
        <v/>
      </c>
      <c r="O204" s="20" t="str">
        <f aca="false">IF(OR(AND($A204="",$B204="",$C204="",$D204="",$E204="",$F204="",$G204="",$H204=""),NOT($S204="")),"",IF($B204=0,"n/a",INT(ROUND($N204/$B204*10000,6))/10000))</f>
        <v/>
      </c>
      <c r="P204" s="18" t="str">
        <f aca="false">IF(OR(AND($A204="",$B204="",$C204="",$D204="",$E204="",$F204="",$G204="",$H204=""),NOT($S204="")),"",ROUNDUP(ROUND($M204*10000/(10000-TargetH),9),2))</f>
        <v/>
      </c>
      <c r="Q204" s="18" t="str">
        <f aca="false">IF(OR(AND($A204="",$B204="",$C204="",$D204="",$E204="",$F204="",$G204="",$H204=""),NOT($S204="")),"",MAX(0,ROUND($P204-$B204,2)))</f>
        <v/>
      </c>
      <c r="R204" s="21" t="str">
        <f aca="false">IF(AND($A204="",$B204="",$C204="",$D204="",$E204="",$F204="",$G204="",$H204=""),"",IF(NOT($S204=""),"Check inputs",IF($B204=0,"No fee entered",IF($N204&lt;0,"Losing money on entered costs",IF(ROUND($N204*100,0)*10000&lt;TargetH*ROUND($B204*100,0),"Below your target","Meets your target")))))</f>
        <v/>
      </c>
      <c r="S204" s="22" t="str">
        <f aca="false">IF(AND($A204="",$B204="",$C204="",$D204="",$E204="",$F204="",$G204="",$H204=""),"",TRIM(IF($A204="","Customer/site label is missing. ","")&amp;IF($B204="","Monthly fee is missing. ",IF(NOT(ISNUMBER($B204)),"Monthly fee must be a number. ",IF($B204&lt;0,"Monthly fee can't be negative. ",IF(ROUND($B204,2)&lt;&gt;$B204,"Monthly fee: use up to 2 decimal places. ",IF($B204&gt;99999.99,"Monthly fee: use 99,999.99 or less. ","")))))&amp;IF($C204="","Visits per month is missing. ",IF(NOT(ISNUMBER($C204)),"Visits per month must be a number. ",IF($C204&lt;0,"Visits per month can't be negative. ",IF(ROUND($C204,3)&lt;&gt;$C204,"Visits per month: use up to 3 decimal places. ",IF($C204=0,"Visits per month must be more than 0. ",IF($C204&gt;31,"Visits per month: use 31 or less. ",""))))))&amp;IF($D204="","Service minutes per visit is missing. ",IF(NOT(ISNUMBER($D204)),"Service minutes per visit must be a number. ",IF($D204&lt;0,"Service minutes per visit can't be negative. ",IF(ROUND($D204,2)&lt;&gt;$D204,"Service minutes per visit: use up to 2 decimal places. ",IF($D204=0,"Service minutes per visit must be more than 0. ",IF($D204&gt;600,"Service minutes per visit: use 600 or less. ",""))))))&amp;IF($E204="","Drive minutes per visit is missing. ",IF(NOT(ISNUMBER($E204)),"Drive minutes per visit must be a number. ",IF($E204&lt;0,"Drive minutes per visit can't be negative. ",IF(ROUND($E204,2)&lt;&gt;$E204,"Drive minutes per visit: use up to 2 decimal places. ",IF($E204&gt;600,"Drive minutes per visit: use 600 or less. ","")))))&amp;IF($F204="","Drive miles per visit is missing. ",IF(NOT(ISNUMBER($F204)),"Drive miles per visit must be a number. ",IF($F204&lt;0,"Drive miles per visit can't be negative. ",IF(ROUND($F204,2)&lt;&gt;$F204,"Drive miles per visit: use up to 2 decimal places. ",IF($F204&gt;1000,"Drive miles per visit: use 1,000 or less. ","")))))&amp;IF($G204="","Chemicals per visit is missing. ",IF(NOT(ISNUMBER($G204)),"Chemicals per visit must be a number. ",IF($G204&lt;0,"Chemicals per visit can't be negative. ",IF(ROUND($G204,2)&lt;&gt;$G204,"Chemicals per visit: use up to 2 decimal places. ",IF($G204&gt;9999.99,"Chemicals per visit: use 9,999.99 or less. ","")))))&amp;IF($H204="","Other monthly costs is missing. ",IF(NOT(ISNUMBER($H204)),"Other monthly costs must be a number. ",IF($H204&lt;0,"Other monthly costs can't be negative. ",IF(ROUND($H204,2)&lt;&gt;$H204,"Other monthly costs: use up to 2 decimal places. ",IF($H204&gt;99999.99,"Other monthly costs: use 99,999.99 or less. ","")))))&amp;IF(SettingsOK,"","Settings incomplete.")))</f>
        <v/>
      </c>
      <c r="T204" s="23" t="str">
        <f aca="false">IF(AND($A204="",$B204="",$C204="",$D204="",$E204="",$F204="",$G204="",$H204=""),"",IF(Review!$B$5="Check inputs",IF($R204="Check inputs",ROW(),""),IF($R204="Check inputs",IF(Review!$B$5="All accounts",-2000000000000000+ROW(),""),IF(AND(Review!$B$5="Needs review",$R204="Meets your target"),"",IF($R204="No fee entered",-1000000000000000+ROW(),$N204/$B204+ROW()/1000000000)))))</f>
        <v/>
      </c>
    </row>
    <row r="205" customFormat="false" ht="15" hidden="false" customHeight="false" outlineLevel="0" collapsed="false">
      <c r="A205" s="14"/>
      <c r="B205" s="15"/>
      <c r="C205" s="16"/>
      <c r="D205" s="14"/>
      <c r="E205" s="14"/>
      <c r="F205" s="14"/>
      <c r="G205" s="15"/>
      <c r="H205" s="15"/>
      <c r="I205" s="17" t="str">
        <f aca="false">IF(OR(AND($A205="",$B205="",$C205="",$D205="",$E205="",$F205="",$G205="",$H205=""),NOT($S205="")),"",ROUND($C205*($D205+$E205)/60,4))</f>
        <v/>
      </c>
      <c r="J205" s="18" t="str">
        <f aca="false">IF(OR(AND($A205="",$B205="",$C205="",$D205="",$E205="",$F205="",$G205="",$H205=""),NOT($S205="")),"",ROUND(ROUND($C205*($D205+$E205)/60*$B$5,9),2))</f>
        <v/>
      </c>
      <c r="K205" s="18" t="str">
        <f aca="false">IF(OR(AND($A205="",$B205="",$C205="",$D205="",$E205="",$F205="",$G205="",$H205=""),NOT($S205="")),"",ROUND(ROUND($C205*$F205*$B$6,9),2))</f>
        <v/>
      </c>
      <c r="L205" s="18" t="str">
        <f aca="false">IF(OR(AND($A205="",$B205="",$C205="",$D205="",$E205="",$F205="",$G205="",$H205=""),NOT($S205="")),"",ROUND(ROUND($C205*$G205,9),2))</f>
        <v/>
      </c>
      <c r="M205" s="19" t="str">
        <f aca="false">IF(OR(AND($A205="",$B205="",$C205="",$D205="",$E205="",$F205="",$G205="",$H205=""),NOT($S205="")),"",ROUND($J205+$K205+$L205+$H205,2))</f>
        <v/>
      </c>
      <c r="N205" s="19" t="str">
        <f aca="false">IF(OR(AND($A205="",$B205="",$C205="",$D205="",$E205="",$F205="",$G205="",$H205=""),NOT($S205="")),"",ROUND($B205-$M205,2))</f>
        <v/>
      </c>
      <c r="O205" s="20" t="str">
        <f aca="false">IF(OR(AND($A205="",$B205="",$C205="",$D205="",$E205="",$F205="",$G205="",$H205=""),NOT($S205="")),"",IF($B205=0,"n/a",INT(ROUND($N205/$B205*10000,6))/10000))</f>
        <v/>
      </c>
      <c r="P205" s="18" t="str">
        <f aca="false">IF(OR(AND($A205="",$B205="",$C205="",$D205="",$E205="",$F205="",$G205="",$H205=""),NOT($S205="")),"",ROUNDUP(ROUND($M205*10000/(10000-TargetH),9),2))</f>
        <v/>
      </c>
      <c r="Q205" s="18" t="str">
        <f aca="false">IF(OR(AND($A205="",$B205="",$C205="",$D205="",$E205="",$F205="",$G205="",$H205=""),NOT($S205="")),"",MAX(0,ROUND($P205-$B205,2)))</f>
        <v/>
      </c>
      <c r="R205" s="21" t="str">
        <f aca="false">IF(AND($A205="",$B205="",$C205="",$D205="",$E205="",$F205="",$G205="",$H205=""),"",IF(NOT($S205=""),"Check inputs",IF($B205=0,"No fee entered",IF($N205&lt;0,"Losing money on entered costs",IF(ROUND($N205*100,0)*10000&lt;TargetH*ROUND($B205*100,0),"Below your target","Meets your target")))))</f>
        <v/>
      </c>
      <c r="S205" s="22" t="str">
        <f aca="false">IF(AND($A205="",$B205="",$C205="",$D205="",$E205="",$F205="",$G205="",$H205=""),"",TRIM(IF($A205="","Customer/site label is missing. ","")&amp;IF($B205="","Monthly fee is missing. ",IF(NOT(ISNUMBER($B205)),"Monthly fee must be a number. ",IF($B205&lt;0,"Monthly fee can't be negative. ",IF(ROUND($B205,2)&lt;&gt;$B205,"Monthly fee: use up to 2 decimal places. ",IF($B205&gt;99999.99,"Monthly fee: use 99,999.99 or less. ","")))))&amp;IF($C205="","Visits per month is missing. ",IF(NOT(ISNUMBER($C205)),"Visits per month must be a number. ",IF($C205&lt;0,"Visits per month can't be negative. ",IF(ROUND($C205,3)&lt;&gt;$C205,"Visits per month: use up to 3 decimal places. ",IF($C205=0,"Visits per month must be more than 0. ",IF($C205&gt;31,"Visits per month: use 31 or less. ",""))))))&amp;IF($D205="","Service minutes per visit is missing. ",IF(NOT(ISNUMBER($D205)),"Service minutes per visit must be a number. ",IF($D205&lt;0,"Service minutes per visit can't be negative. ",IF(ROUND($D205,2)&lt;&gt;$D205,"Service minutes per visit: use up to 2 decimal places. ",IF($D205=0,"Service minutes per visit must be more than 0. ",IF($D205&gt;600,"Service minutes per visit: use 600 or less. ",""))))))&amp;IF($E205="","Drive minutes per visit is missing. ",IF(NOT(ISNUMBER($E205)),"Drive minutes per visit must be a number. ",IF($E205&lt;0,"Drive minutes per visit can't be negative. ",IF(ROUND($E205,2)&lt;&gt;$E205,"Drive minutes per visit: use up to 2 decimal places. ",IF($E205&gt;600,"Drive minutes per visit: use 600 or less. ","")))))&amp;IF($F205="","Drive miles per visit is missing. ",IF(NOT(ISNUMBER($F205)),"Drive miles per visit must be a number. ",IF($F205&lt;0,"Drive miles per visit can't be negative. ",IF(ROUND($F205,2)&lt;&gt;$F205,"Drive miles per visit: use up to 2 decimal places. ",IF($F205&gt;1000,"Drive miles per visit: use 1,000 or less. ","")))))&amp;IF($G205="","Chemicals per visit is missing. ",IF(NOT(ISNUMBER($G205)),"Chemicals per visit must be a number. ",IF($G205&lt;0,"Chemicals per visit can't be negative. ",IF(ROUND($G205,2)&lt;&gt;$G205,"Chemicals per visit: use up to 2 decimal places. ",IF($G205&gt;9999.99,"Chemicals per visit: use 9,999.99 or less. ","")))))&amp;IF($H205="","Other monthly costs is missing. ",IF(NOT(ISNUMBER($H205)),"Other monthly costs must be a number. ",IF($H205&lt;0,"Other monthly costs can't be negative. ",IF(ROUND($H205,2)&lt;&gt;$H205,"Other monthly costs: use up to 2 decimal places. ",IF($H205&gt;99999.99,"Other monthly costs: use 99,999.99 or less. ","")))))&amp;IF(SettingsOK,"","Settings incomplete.")))</f>
        <v/>
      </c>
      <c r="T205" s="23" t="str">
        <f aca="false">IF(AND($A205="",$B205="",$C205="",$D205="",$E205="",$F205="",$G205="",$H205=""),"",IF(Review!$B$5="Check inputs",IF($R205="Check inputs",ROW(),""),IF($R205="Check inputs",IF(Review!$B$5="All accounts",-2000000000000000+ROW(),""),IF(AND(Review!$B$5="Needs review",$R205="Meets your target"),"",IF($R205="No fee entered",-1000000000000000+ROW(),$N205/$B205+ROW()/1000000000)))))</f>
        <v/>
      </c>
    </row>
    <row r="206" customFormat="false" ht="15" hidden="false" customHeight="false" outlineLevel="0" collapsed="false">
      <c r="A206" s="14"/>
      <c r="B206" s="15"/>
      <c r="C206" s="16"/>
      <c r="D206" s="14"/>
      <c r="E206" s="14"/>
      <c r="F206" s="14"/>
      <c r="G206" s="15"/>
      <c r="H206" s="15"/>
      <c r="I206" s="17" t="str">
        <f aca="false">IF(OR(AND($A206="",$B206="",$C206="",$D206="",$E206="",$F206="",$G206="",$H206=""),NOT($S206="")),"",ROUND($C206*($D206+$E206)/60,4))</f>
        <v/>
      </c>
      <c r="J206" s="18" t="str">
        <f aca="false">IF(OR(AND($A206="",$B206="",$C206="",$D206="",$E206="",$F206="",$G206="",$H206=""),NOT($S206="")),"",ROUND(ROUND($C206*($D206+$E206)/60*$B$5,9),2))</f>
        <v/>
      </c>
      <c r="K206" s="18" t="str">
        <f aca="false">IF(OR(AND($A206="",$B206="",$C206="",$D206="",$E206="",$F206="",$G206="",$H206=""),NOT($S206="")),"",ROUND(ROUND($C206*$F206*$B$6,9),2))</f>
        <v/>
      </c>
      <c r="L206" s="18" t="str">
        <f aca="false">IF(OR(AND($A206="",$B206="",$C206="",$D206="",$E206="",$F206="",$G206="",$H206=""),NOT($S206="")),"",ROUND(ROUND($C206*$G206,9),2))</f>
        <v/>
      </c>
      <c r="M206" s="19" t="str">
        <f aca="false">IF(OR(AND($A206="",$B206="",$C206="",$D206="",$E206="",$F206="",$G206="",$H206=""),NOT($S206="")),"",ROUND($J206+$K206+$L206+$H206,2))</f>
        <v/>
      </c>
      <c r="N206" s="19" t="str">
        <f aca="false">IF(OR(AND($A206="",$B206="",$C206="",$D206="",$E206="",$F206="",$G206="",$H206=""),NOT($S206="")),"",ROUND($B206-$M206,2))</f>
        <v/>
      </c>
      <c r="O206" s="20" t="str">
        <f aca="false">IF(OR(AND($A206="",$B206="",$C206="",$D206="",$E206="",$F206="",$G206="",$H206=""),NOT($S206="")),"",IF($B206=0,"n/a",INT(ROUND($N206/$B206*10000,6))/10000))</f>
        <v/>
      </c>
      <c r="P206" s="18" t="str">
        <f aca="false">IF(OR(AND($A206="",$B206="",$C206="",$D206="",$E206="",$F206="",$G206="",$H206=""),NOT($S206="")),"",ROUNDUP(ROUND($M206*10000/(10000-TargetH),9),2))</f>
        <v/>
      </c>
      <c r="Q206" s="18" t="str">
        <f aca="false">IF(OR(AND($A206="",$B206="",$C206="",$D206="",$E206="",$F206="",$G206="",$H206=""),NOT($S206="")),"",MAX(0,ROUND($P206-$B206,2)))</f>
        <v/>
      </c>
      <c r="R206" s="21" t="str">
        <f aca="false">IF(AND($A206="",$B206="",$C206="",$D206="",$E206="",$F206="",$G206="",$H206=""),"",IF(NOT($S206=""),"Check inputs",IF($B206=0,"No fee entered",IF($N206&lt;0,"Losing money on entered costs",IF(ROUND($N206*100,0)*10000&lt;TargetH*ROUND($B206*100,0),"Below your target","Meets your target")))))</f>
        <v/>
      </c>
      <c r="S206" s="22" t="str">
        <f aca="false">IF(AND($A206="",$B206="",$C206="",$D206="",$E206="",$F206="",$G206="",$H206=""),"",TRIM(IF($A206="","Customer/site label is missing. ","")&amp;IF($B206="","Monthly fee is missing. ",IF(NOT(ISNUMBER($B206)),"Monthly fee must be a number. ",IF($B206&lt;0,"Monthly fee can't be negative. ",IF(ROUND($B206,2)&lt;&gt;$B206,"Monthly fee: use up to 2 decimal places. ",IF($B206&gt;99999.99,"Monthly fee: use 99,999.99 or less. ","")))))&amp;IF($C206="","Visits per month is missing. ",IF(NOT(ISNUMBER($C206)),"Visits per month must be a number. ",IF($C206&lt;0,"Visits per month can't be negative. ",IF(ROUND($C206,3)&lt;&gt;$C206,"Visits per month: use up to 3 decimal places. ",IF($C206=0,"Visits per month must be more than 0. ",IF($C206&gt;31,"Visits per month: use 31 or less. ",""))))))&amp;IF($D206="","Service minutes per visit is missing. ",IF(NOT(ISNUMBER($D206)),"Service minutes per visit must be a number. ",IF($D206&lt;0,"Service minutes per visit can't be negative. ",IF(ROUND($D206,2)&lt;&gt;$D206,"Service minutes per visit: use up to 2 decimal places. ",IF($D206=0,"Service minutes per visit must be more than 0. ",IF($D206&gt;600,"Service minutes per visit: use 600 or less. ",""))))))&amp;IF($E206="","Drive minutes per visit is missing. ",IF(NOT(ISNUMBER($E206)),"Drive minutes per visit must be a number. ",IF($E206&lt;0,"Drive minutes per visit can't be negative. ",IF(ROUND($E206,2)&lt;&gt;$E206,"Drive minutes per visit: use up to 2 decimal places. ",IF($E206&gt;600,"Drive minutes per visit: use 600 or less. ","")))))&amp;IF($F206="","Drive miles per visit is missing. ",IF(NOT(ISNUMBER($F206)),"Drive miles per visit must be a number. ",IF($F206&lt;0,"Drive miles per visit can't be negative. ",IF(ROUND($F206,2)&lt;&gt;$F206,"Drive miles per visit: use up to 2 decimal places. ",IF($F206&gt;1000,"Drive miles per visit: use 1,000 or less. ","")))))&amp;IF($G206="","Chemicals per visit is missing. ",IF(NOT(ISNUMBER($G206)),"Chemicals per visit must be a number. ",IF($G206&lt;0,"Chemicals per visit can't be negative. ",IF(ROUND($G206,2)&lt;&gt;$G206,"Chemicals per visit: use up to 2 decimal places. ",IF($G206&gt;9999.99,"Chemicals per visit: use 9,999.99 or less. ","")))))&amp;IF($H206="","Other monthly costs is missing. ",IF(NOT(ISNUMBER($H206)),"Other monthly costs must be a number. ",IF($H206&lt;0,"Other monthly costs can't be negative. ",IF(ROUND($H206,2)&lt;&gt;$H206,"Other monthly costs: use up to 2 decimal places. ",IF($H206&gt;99999.99,"Other monthly costs: use 99,999.99 or less. ","")))))&amp;IF(SettingsOK,"","Settings incomplete.")))</f>
        <v/>
      </c>
      <c r="T206" s="23" t="str">
        <f aca="false">IF(AND($A206="",$B206="",$C206="",$D206="",$E206="",$F206="",$G206="",$H206=""),"",IF(Review!$B$5="Check inputs",IF($R206="Check inputs",ROW(),""),IF($R206="Check inputs",IF(Review!$B$5="All accounts",-2000000000000000+ROW(),""),IF(AND(Review!$B$5="Needs review",$R206="Meets your target"),"",IF($R206="No fee entered",-1000000000000000+ROW(),$N206/$B206+ROW()/1000000000)))))</f>
        <v/>
      </c>
    </row>
    <row r="207" customFormat="false" ht="15" hidden="false" customHeight="false" outlineLevel="0" collapsed="false">
      <c r="A207" s="14"/>
      <c r="B207" s="15"/>
      <c r="C207" s="16"/>
      <c r="D207" s="14"/>
      <c r="E207" s="14"/>
      <c r="F207" s="14"/>
      <c r="G207" s="15"/>
      <c r="H207" s="15"/>
      <c r="I207" s="17" t="str">
        <f aca="false">IF(OR(AND($A207="",$B207="",$C207="",$D207="",$E207="",$F207="",$G207="",$H207=""),NOT($S207="")),"",ROUND($C207*($D207+$E207)/60,4))</f>
        <v/>
      </c>
      <c r="J207" s="18" t="str">
        <f aca="false">IF(OR(AND($A207="",$B207="",$C207="",$D207="",$E207="",$F207="",$G207="",$H207=""),NOT($S207="")),"",ROUND(ROUND($C207*($D207+$E207)/60*$B$5,9),2))</f>
        <v/>
      </c>
      <c r="K207" s="18" t="str">
        <f aca="false">IF(OR(AND($A207="",$B207="",$C207="",$D207="",$E207="",$F207="",$G207="",$H207=""),NOT($S207="")),"",ROUND(ROUND($C207*$F207*$B$6,9),2))</f>
        <v/>
      </c>
      <c r="L207" s="18" t="str">
        <f aca="false">IF(OR(AND($A207="",$B207="",$C207="",$D207="",$E207="",$F207="",$G207="",$H207=""),NOT($S207="")),"",ROUND(ROUND($C207*$G207,9),2))</f>
        <v/>
      </c>
      <c r="M207" s="19" t="str">
        <f aca="false">IF(OR(AND($A207="",$B207="",$C207="",$D207="",$E207="",$F207="",$G207="",$H207=""),NOT($S207="")),"",ROUND($J207+$K207+$L207+$H207,2))</f>
        <v/>
      </c>
      <c r="N207" s="19" t="str">
        <f aca="false">IF(OR(AND($A207="",$B207="",$C207="",$D207="",$E207="",$F207="",$G207="",$H207=""),NOT($S207="")),"",ROUND($B207-$M207,2))</f>
        <v/>
      </c>
      <c r="O207" s="20" t="str">
        <f aca="false">IF(OR(AND($A207="",$B207="",$C207="",$D207="",$E207="",$F207="",$G207="",$H207=""),NOT($S207="")),"",IF($B207=0,"n/a",INT(ROUND($N207/$B207*10000,6))/10000))</f>
        <v/>
      </c>
      <c r="P207" s="18" t="str">
        <f aca="false">IF(OR(AND($A207="",$B207="",$C207="",$D207="",$E207="",$F207="",$G207="",$H207=""),NOT($S207="")),"",ROUNDUP(ROUND($M207*10000/(10000-TargetH),9),2))</f>
        <v/>
      </c>
      <c r="Q207" s="18" t="str">
        <f aca="false">IF(OR(AND($A207="",$B207="",$C207="",$D207="",$E207="",$F207="",$G207="",$H207=""),NOT($S207="")),"",MAX(0,ROUND($P207-$B207,2)))</f>
        <v/>
      </c>
      <c r="R207" s="21" t="str">
        <f aca="false">IF(AND($A207="",$B207="",$C207="",$D207="",$E207="",$F207="",$G207="",$H207=""),"",IF(NOT($S207=""),"Check inputs",IF($B207=0,"No fee entered",IF($N207&lt;0,"Losing money on entered costs",IF(ROUND($N207*100,0)*10000&lt;TargetH*ROUND($B207*100,0),"Below your target","Meets your target")))))</f>
        <v/>
      </c>
      <c r="S207" s="22" t="str">
        <f aca="false">IF(AND($A207="",$B207="",$C207="",$D207="",$E207="",$F207="",$G207="",$H207=""),"",TRIM(IF($A207="","Customer/site label is missing. ","")&amp;IF($B207="","Monthly fee is missing. ",IF(NOT(ISNUMBER($B207)),"Monthly fee must be a number. ",IF($B207&lt;0,"Monthly fee can't be negative. ",IF(ROUND($B207,2)&lt;&gt;$B207,"Monthly fee: use up to 2 decimal places. ",IF($B207&gt;99999.99,"Monthly fee: use 99,999.99 or less. ","")))))&amp;IF($C207="","Visits per month is missing. ",IF(NOT(ISNUMBER($C207)),"Visits per month must be a number. ",IF($C207&lt;0,"Visits per month can't be negative. ",IF(ROUND($C207,3)&lt;&gt;$C207,"Visits per month: use up to 3 decimal places. ",IF($C207=0,"Visits per month must be more than 0. ",IF($C207&gt;31,"Visits per month: use 31 or less. ",""))))))&amp;IF($D207="","Service minutes per visit is missing. ",IF(NOT(ISNUMBER($D207)),"Service minutes per visit must be a number. ",IF($D207&lt;0,"Service minutes per visit can't be negative. ",IF(ROUND($D207,2)&lt;&gt;$D207,"Service minutes per visit: use up to 2 decimal places. ",IF($D207=0,"Service minutes per visit must be more than 0. ",IF($D207&gt;600,"Service minutes per visit: use 600 or less. ",""))))))&amp;IF($E207="","Drive minutes per visit is missing. ",IF(NOT(ISNUMBER($E207)),"Drive minutes per visit must be a number. ",IF($E207&lt;0,"Drive minutes per visit can't be negative. ",IF(ROUND($E207,2)&lt;&gt;$E207,"Drive minutes per visit: use up to 2 decimal places. ",IF($E207&gt;600,"Drive minutes per visit: use 600 or less. ","")))))&amp;IF($F207="","Drive miles per visit is missing. ",IF(NOT(ISNUMBER($F207)),"Drive miles per visit must be a number. ",IF($F207&lt;0,"Drive miles per visit can't be negative. ",IF(ROUND($F207,2)&lt;&gt;$F207,"Drive miles per visit: use up to 2 decimal places. ",IF($F207&gt;1000,"Drive miles per visit: use 1,000 or less. ","")))))&amp;IF($G207="","Chemicals per visit is missing. ",IF(NOT(ISNUMBER($G207)),"Chemicals per visit must be a number. ",IF($G207&lt;0,"Chemicals per visit can't be negative. ",IF(ROUND($G207,2)&lt;&gt;$G207,"Chemicals per visit: use up to 2 decimal places. ",IF($G207&gt;9999.99,"Chemicals per visit: use 9,999.99 or less. ","")))))&amp;IF($H207="","Other monthly costs is missing. ",IF(NOT(ISNUMBER($H207)),"Other monthly costs must be a number. ",IF($H207&lt;0,"Other monthly costs can't be negative. ",IF(ROUND($H207,2)&lt;&gt;$H207,"Other monthly costs: use up to 2 decimal places. ",IF($H207&gt;99999.99,"Other monthly costs: use 99,999.99 or less. ","")))))&amp;IF(SettingsOK,"","Settings incomplete.")))</f>
        <v/>
      </c>
      <c r="T207" s="23" t="str">
        <f aca="false">IF(AND($A207="",$B207="",$C207="",$D207="",$E207="",$F207="",$G207="",$H207=""),"",IF(Review!$B$5="Check inputs",IF($R207="Check inputs",ROW(),""),IF($R207="Check inputs",IF(Review!$B$5="All accounts",-2000000000000000+ROW(),""),IF(AND(Review!$B$5="Needs review",$R207="Meets your target"),"",IF($R207="No fee entered",-1000000000000000+ROW(),$N207/$B207+ROW()/1000000000)))))</f>
        <v/>
      </c>
    </row>
    <row r="208" customFormat="false" ht="15" hidden="false" customHeight="false" outlineLevel="0" collapsed="false">
      <c r="A208" s="14"/>
      <c r="B208" s="15"/>
      <c r="C208" s="16"/>
      <c r="D208" s="14"/>
      <c r="E208" s="14"/>
      <c r="F208" s="14"/>
      <c r="G208" s="15"/>
      <c r="H208" s="15"/>
      <c r="I208" s="17" t="str">
        <f aca="false">IF(OR(AND($A208="",$B208="",$C208="",$D208="",$E208="",$F208="",$G208="",$H208=""),NOT($S208="")),"",ROUND($C208*($D208+$E208)/60,4))</f>
        <v/>
      </c>
      <c r="J208" s="18" t="str">
        <f aca="false">IF(OR(AND($A208="",$B208="",$C208="",$D208="",$E208="",$F208="",$G208="",$H208=""),NOT($S208="")),"",ROUND(ROUND($C208*($D208+$E208)/60*$B$5,9),2))</f>
        <v/>
      </c>
      <c r="K208" s="18" t="str">
        <f aca="false">IF(OR(AND($A208="",$B208="",$C208="",$D208="",$E208="",$F208="",$G208="",$H208=""),NOT($S208="")),"",ROUND(ROUND($C208*$F208*$B$6,9),2))</f>
        <v/>
      </c>
      <c r="L208" s="18" t="str">
        <f aca="false">IF(OR(AND($A208="",$B208="",$C208="",$D208="",$E208="",$F208="",$G208="",$H208=""),NOT($S208="")),"",ROUND(ROUND($C208*$G208,9),2))</f>
        <v/>
      </c>
      <c r="M208" s="19" t="str">
        <f aca="false">IF(OR(AND($A208="",$B208="",$C208="",$D208="",$E208="",$F208="",$G208="",$H208=""),NOT($S208="")),"",ROUND($J208+$K208+$L208+$H208,2))</f>
        <v/>
      </c>
      <c r="N208" s="19" t="str">
        <f aca="false">IF(OR(AND($A208="",$B208="",$C208="",$D208="",$E208="",$F208="",$G208="",$H208=""),NOT($S208="")),"",ROUND($B208-$M208,2))</f>
        <v/>
      </c>
      <c r="O208" s="20" t="str">
        <f aca="false">IF(OR(AND($A208="",$B208="",$C208="",$D208="",$E208="",$F208="",$G208="",$H208=""),NOT($S208="")),"",IF($B208=0,"n/a",INT(ROUND($N208/$B208*10000,6))/10000))</f>
        <v/>
      </c>
      <c r="P208" s="18" t="str">
        <f aca="false">IF(OR(AND($A208="",$B208="",$C208="",$D208="",$E208="",$F208="",$G208="",$H208=""),NOT($S208="")),"",ROUNDUP(ROUND($M208*10000/(10000-TargetH),9),2))</f>
        <v/>
      </c>
      <c r="Q208" s="18" t="str">
        <f aca="false">IF(OR(AND($A208="",$B208="",$C208="",$D208="",$E208="",$F208="",$G208="",$H208=""),NOT($S208="")),"",MAX(0,ROUND($P208-$B208,2)))</f>
        <v/>
      </c>
      <c r="R208" s="21" t="str">
        <f aca="false">IF(AND($A208="",$B208="",$C208="",$D208="",$E208="",$F208="",$G208="",$H208=""),"",IF(NOT($S208=""),"Check inputs",IF($B208=0,"No fee entered",IF($N208&lt;0,"Losing money on entered costs",IF(ROUND($N208*100,0)*10000&lt;TargetH*ROUND($B208*100,0),"Below your target","Meets your target")))))</f>
        <v/>
      </c>
      <c r="S208" s="22" t="str">
        <f aca="false">IF(AND($A208="",$B208="",$C208="",$D208="",$E208="",$F208="",$G208="",$H208=""),"",TRIM(IF($A208="","Customer/site label is missing. ","")&amp;IF($B208="","Monthly fee is missing. ",IF(NOT(ISNUMBER($B208)),"Monthly fee must be a number. ",IF($B208&lt;0,"Monthly fee can't be negative. ",IF(ROUND($B208,2)&lt;&gt;$B208,"Monthly fee: use up to 2 decimal places. ",IF($B208&gt;99999.99,"Monthly fee: use 99,999.99 or less. ","")))))&amp;IF($C208="","Visits per month is missing. ",IF(NOT(ISNUMBER($C208)),"Visits per month must be a number. ",IF($C208&lt;0,"Visits per month can't be negative. ",IF(ROUND($C208,3)&lt;&gt;$C208,"Visits per month: use up to 3 decimal places. ",IF($C208=0,"Visits per month must be more than 0. ",IF($C208&gt;31,"Visits per month: use 31 or less. ",""))))))&amp;IF($D208="","Service minutes per visit is missing. ",IF(NOT(ISNUMBER($D208)),"Service minutes per visit must be a number. ",IF($D208&lt;0,"Service minutes per visit can't be negative. ",IF(ROUND($D208,2)&lt;&gt;$D208,"Service minutes per visit: use up to 2 decimal places. ",IF($D208=0,"Service minutes per visit must be more than 0. ",IF($D208&gt;600,"Service minutes per visit: use 600 or less. ",""))))))&amp;IF($E208="","Drive minutes per visit is missing. ",IF(NOT(ISNUMBER($E208)),"Drive minutes per visit must be a number. ",IF($E208&lt;0,"Drive minutes per visit can't be negative. ",IF(ROUND($E208,2)&lt;&gt;$E208,"Drive minutes per visit: use up to 2 decimal places. ",IF($E208&gt;600,"Drive minutes per visit: use 600 or less. ","")))))&amp;IF($F208="","Drive miles per visit is missing. ",IF(NOT(ISNUMBER($F208)),"Drive miles per visit must be a number. ",IF($F208&lt;0,"Drive miles per visit can't be negative. ",IF(ROUND($F208,2)&lt;&gt;$F208,"Drive miles per visit: use up to 2 decimal places. ",IF($F208&gt;1000,"Drive miles per visit: use 1,000 or less. ","")))))&amp;IF($G208="","Chemicals per visit is missing. ",IF(NOT(ISNUMBER($G208)),"Chemicals per visit must be a number. ",IF($G208&lt;0,"Chemicals per visit can't be negative. ",IF(ROUND($G208,2)&lt;&gt;$G208,"Chemicals per visit: use up to 2 decimal places. ",IF($G208&gt;9999.99,"Chemicals per visit: use 9,999.99 or less. ","")))))&amp;IF($H208="","Other monthly costs is missing. ",IF(NOT(ISNUMBER($H208)),"Other monthly costs must be a number. ",IF($H208&lt;0,"Other monthly costs can't be negative. ",IF(ROUND($H208,2)&lt;&gt;$H208,"Other monthly costs: use up to 2 decimal places. ",IF($H208&gt;99999.99,"Other monthly costs: use 99,999.99 or less. ","")))))&amp;IF(SettingsOK,"","Settings incomplete.")))</f>
        <v/>
      </c>
      <c r="T208" s="23" t="str">
        <f aca="false">IF(AND($A208="",$B208="",$C208="",$D208="",$E208="",$F208="",$G208="",$H208=""),"",IF(Review!$B$5="Check inputs",IF($R208="Check inputs",ROW(),""),IF($R208="Check inputs",IF(Review!$B$5="All accounts",-2000000000000000+ROW(),""),IF(AND(Review!$B$5="Needs review",$R208="Meets your target"),"",IF($R208="No fee entered",-1000000000000000+ROW(),$N208/$B208+ROW()/1000000000)))))</f>
        <v/>
      </c>
    </row>
    <row r="209" customFormat="false" ht="15" hidden="false" customHeight="false" outlineLevel="0" collapsed="false">
      <c r="A209" s="14"/>
      <c r="B209" s="15"/>
      <c r="C209" s="16"/>
      <c r="D209" s="14"/>
      <c r="E209" s="14"/>
      <c r="F209" s="14"/>
      <c r="G209" s="15"/>
      <c r="H209" s="15"/>
      <c r="I209" s="17" t="str">
        <f aca="false">IF(OR(AND($A209="",$B209="",$C209="",$D209="",$E209="",$F209="",$G209="",$H209=""),NOT($S209="")),"",ROUND($C209*($D209+$E209)/60,4))</f>
        <v/>
      </c>
      <c r="J209" s="18" t="str">
        <f aca="false">IF(OR(AND($A209="",$B209="",$C209="",$D209="",$E209="",$F209="",$G209="",$H209=""),NOT($S209="")),"",ROUND(ROUND($C209*($D209+$E209)/60*$B$5,9),2))</f>
        <v/>
      </c>
      <c r="K209" s="18" t="str">
        <f aca="false">IF(OR(AND($A209="",$B209="",$C209="",$D209="",$E209="",$F209="",$G209="",$H209=""),NOT($S209="")),"",ROUND(ROUND($C209*$F209*$B$6,9),2))</f>
        <v/>
      </c>
      <c r="L209" s="18" t="str">
        <f aca="false">IF(OR(AND($A209="",$B209="",$C209="",$D209="",$E209="",$F209="",$G209="",$H209=""),NOT($S209="")),"",ROUND(ROUND($C209*$G209,9),2))</f>
        <v/>
      </c>
      <c r="M209" s="19" t="str">
        <f aca="false">IF(OR(AND($A209="",$B209="",$C209="",$D209="",$E209="",$F209="",$G209="",$H209=""),NOT($S209="")),"",ROUND($J209+$K209+$L209+$H209,2))</f>
        <v/>
      </c>
      <c r="N209" s="19" t="str">
        <f aca="false">IF(OR(AND($A209="",$B209="",$C209="",$D209="",$E209="",$F209="",$G209="",$H209=""),NOT($S209="")),"",ROUND($B209-$M209,2))</f>
        <v/>
      </c>
      <c r="O209" s="20" t="str">
        <f aca="false">IF(OR(AND($A209="",$B209="",$C209="",$D209="",$E209="",$F209="",$G209="",$H209=""),NOT($S209="")),"",IF($B209=0,"n/a",INT(ROUND($N209/$B209*10000,6))/10000))</f>
        <v/>
      </c>
      <c r="P209" s="18" t="str">
        <f aca="false">IF(OR(AND($A209="",$B209="",$C209="",$D209="",$E209="",$F209="",$G209="",$H209=""),NOT($S209="")),"",ROUNDUP(ROUND($M209*10000/(10000-TargetH),9),2))</f>
        <v/>
      </c>
      <c r="Q209" s="18" t="str">
        <f aca="false">IF(OR(AND($A209="",$B209="",$C209="",$D209="",$E209="",$F209="",$G209="",$H209=""),NOT($S209="")),"",MAX(0,ROUND($P209-$B209,2)))</f>
        <v/>
      </c>
      <c r="R209" s="21" t="str">
        <f aca="false">IF(AND($A209="",$B209="",$C209="",$D209="",$E209="",$F209="",$G209="",$H209=""),"",IF(NOT($S209=""),"Check inputs",IF($B209=0,"No fee entered",IF($N209&lt;0,"Losing money on entered costs",IF(ROUND($N209*100,0)*10000&lt;TargetH*ROUND($B209*100,0),"Below your target","Meets your target")))))</f>
        <v/>
      </c>
      <c r="S209" s="22" t="str">
        <f aca="false">IF(AND($A209="",$B209="",$C209="",$D209="",$E209="",$F209="",$G209="",$H209=""),"",TRIM(IF($A209="","Customer/site label is missing. ","")&amp;IF($B209="","Monthly fee is missing. ",IF(NOT(ISNUMBER($B209)),"Monthly fee must be a number. ",IF($B209&lt;0,"Monthly fee can't be negative. ",IF(ROUND($B209,2)&lt;&gt;$B209,"Monthly fee: use up to 2 decimal places. ",IF($B209&gt;99999.99,"Monthly fee: use 99,999.99 or less. ","")))))&amp;IF($C209="","Visits per month is missing. ",IF(NOT(ISNUMBER($C209)),"Visits per month must be a number. ",IF($C209&lt;0,"Visits per month can't be negative. ",IF(ROUND($C209,3)&lt;&gt;$C209,"Visits per month: use up to 3 decimal places. ",IF($C209=0,"Visits per month must be more than 0. ",IF($C209&gt;31,"Visits per month: use 31 or less. ",""))))))&amp;IF($D209="","Service minutes per visit is missing. ",IF(NOT(ISNUMBER($D209)),"Service minutes per visit must be a number. ",IF($D209&lt;0,"Service minutes per visit can't be negative. ",IF(ROUND($D209,2)&lt;&gt;$D209,"Service minutes per visit: use up to 2 decimal places. ",IF($D209=0,"Service minutes per visit must be more than 0. ",IF($D209&gt;600,"Service minutes per visit: use 600 or less. ",""))))))&amp;IF($E209="","Drive minutes per visit is missing. ",IF(NOT(ISNUMBER($E209)),"Drive minutes per visit must be a number. ",IF($E209&lt;0,"Drive minutes per visit can't be negative. ",IF(ROUND($E209,2)&lt;&gt;$E209,"Drive minutes per visit: use up to 2 decimal places. ",IF($E209&gt;600,"Drive minutes per visit: use 600 or less. ","")))))&amp;IF($F209="","Drive miles per visit is missing. ",IF(NOT(ISNUMBER($F209)),"Drive miles per visit must be a number. ",IF($F209&lt;0,"Drive miles per visit can't be negative. ",IF(ROUND($F209,2)&lt;&gt;$F209,"Drive miles per visit: use up to 2 decimal places. ",IF($F209&gt;1000,"Drive miles per visit: use 1,000 or less. ","")))))&amp;IF($G209="","Chemicals per visit is missing. ",IF(NOT(ISNUMBER($G209)),"Chemicals per visit must be a number. ",IF($G209&lt;0,"Chemicals per visit can't be negative. ",IF(ROUND($G209,2)&lt;&gt;$G209,"Chemicals per visit: use up to 2 decimal places. ",IF($G209&gt;9999.99,"Chemicals per visit: use 9,999.99 or less. ","")))))&amp;IF($H209="","Other monthly costs is missing. ",IF(NOT(ISNUMBER($H209)),"Other monthly costs must be a number. ",IF($H209&lt;0,"Other monthly costs can't be negative. ",IF(ROUND($H209,2)&lt;&gt;$H209,"Other monthly costs: use up to 2 decimal places. ",IF($H209&gt;99999.99,"Other monthly costs: use 99,999.99 or less. ","")))))&amp;IF(SettingsOK,"","Settings incomplete.")))</f>
        <v/>
      </c>
      <c r="T209" s="23" t="str">
        <f aca="false">IF(AND($A209="",$B209="",$C209="",$D209="",$E209="",$F209="",$G209="",$H209=""),"",IF(Review!$B$5="Check inputs",IF($R209="Check inputs",ROW(),""),IF($R209="Check inputs",IF(Review!$B$5="All accounts",-2000000000000000+ROW(),""),IF(AND(Review!$B$5="Needs review",$R209="Meets your target"),"",IF($R209="No fee entered",-1000000000000000+ROW(),$N209/$B209+ROW()/1000000000)))))</f>
        <v/>
      </c>
    </row>
    <row r="210" customFormat="false" ht="15" hidden="false" customHeight="false" outlineLevel="0" collapsed="false">
      <c r="A210" s="14"/>
      <c r="B210" s="15"/>
      <c r="C210" s="16"/>
      <c r="D210" s="14"/>
      <c r="E210" s="14"/>
      <c r="F210" s="14"/>
      <c r="G210" s="15"/>
      <c r="H210" s="15"/>
      <c r="I210" s="17" t="str">
        <f aca="false">IF(OR(AND($A210="",$B210="",$C210="",$D210="",$E210="",$F210="",$G210="",$H210=""),NOT($S210="")),"",ROUND($C210*($D210+$E210)/60,4))</f>
        <v/>
      </c>
      <c r="J210" s="18" t="str">
        <f aca="false">IF(OR(AND($A210="",$B210="",$C210="",$D210="",$E210="",$F210="",$G210="",$H210=""),NOT($S210="")),"",ROUND(ROUND($C210*($D210+$E210)/60*$B$5,9),2))</f>
        <v/>
      </c>
      <c r="K210" s="18" t="str">
        <f aca="false">IF(OR(AND($A210="",$B210="",$C210="",$D210="",$E210="",$F210="",$G210="",$H210=""),NOT($S210="")),"",ROUND(ROUND($C210*$F210*$B$6,9),2))</f>
        <v/>
      </c>
      <c r="L210" s="18" t="str">
        <f aca="false">IF(OR(AND($A210="",$B210="",$C210="",$D210="",$E210="",$F210="",$G210="",$H210=""),NOT($S210="")),"",ROUND(ROUND($C210*$G210,9),2))</f>
        <v/>
      </c>
      <c r="M210" s="19" t="str">
        <f aca="false">IF(OR(AND($A210="",$B210="",$C210="",$D210="",$E210="",$F210="",$G210="",$H210=""),NOT($S210="")),"",ROUND($J210+$K210+$L210+$H210,2))</f>
        <v/>
      </c>
      <c r="N210" s="19" t="str">
        <f aca="false">IF(OR(AND($A210="",$B210="",$C210="",$D210="",$E210="",$F210="",$G210="",$H210=""),NOT($S210="")),"",ROUND($B210-$M210,2))</f>
        <v/>
      </c>
      <c r="O210" s="20" t="str">
        <f aca="false">IF(OR(AND($A210="",$B210="",$C210="",$D210="",$E210="",$F210="",$G210="",$H210=""),NOT($S210="")),"",IF($B210=0,"n/a",INT(ROUND($N210/$B210*10000,6))/10000))</f>
        <v/>
      </c>
      <c r="P210" s="18" t="str">
        <f aca="false">IF(OR(AND($A210="",$B210="",$C210="",$D210="",$E210="",$F210="",$G210="",$H210=""),NOT($S210="")),"",ROUNDUP(ROUND($M210*10000/(10000-TargetH),9),2))</f>
        <v/>
      </c>
      <c r="Q210" s="18" t="str">
        <f aca="false">IF(OR(AND($A210="",$B210="",$C210="",$D210="",$E210="",$F210="",$G210="",$H210=""),NOT($S210="")),"",MAX(0,ROUND($P210-$B210,2)))</f>
        <v/>
      </c>
      <c r="R210" s="21" t="str">
        <f aca="false">IF(AND($A210="",$B210="",$C210="",$D210="",$E210="",$F210="",$G210="",$H210=""),"",IF(NOT($S210=""),"Check inputs",IF($B210=0,"No fee entered",IF($N210&lt;0,"Losing money on entered costs",IF(ROUND($N210*100,0)*10000&lt;TargetH*ROUND($B210*100,0),"Below your target","Meets your target")))))</f>
        <v/>
      </c>
      <c r="S210" s="22" t="str">
        <f aca="false">IF(AND($A210="",$B210="",$C210="",$D210="",$E210="",$F210="",$G210="",$H210=""),"",TRIM(IF($A210="","Customer/site label is missing. ","")&amp;IF($B210="","Monthly fee is missing. ",IF(NOT(ISNUMBER($B210)),"Monthly fee must be a number. ",IF($B210&lt;0,"Monthly fee can't be negative. ",IF(ROUND($B210,2)&lt;&gt;$B210,"Monthly fee: use up to 2 decimal places. ",IF($B210&gt;99999.99,"Monthly fee: use 99,999.99 or less. ","")))))&amp;IF($C210="","Visits per month is missing. ",IF(NOT(ISNUMBER($C210)),"Visits per month must be a number. ",IF($C210&lt;0,"Visits per month can't be negative. ",IF(ROUND($C210,3)&lt;&gt;$C210,"Visits per month: use up to 3 decimal places. ",IF($C210=0,"Visits per month must be more than 0. ",IF($C210&gt;31,"Visits per month: use 31 or less. ",""))))))&amp;IF($D210="","Service minutes per visit is missing. ",IF(NOT(ISNUMBER($D210)),"Service minutes per visit must be a number. ",IF($D210&lt;0,"Service minutes per visit can't be negative. ",IF(ROUND($D210,2)&lt;&gt;$D210,"Service minutes per visit: use up to 2 decimal places. ",IF($D210=0,"Service minutes per visit must be more than 0. ",IF($D210&gt;600,"Service minutes per visit: use 600 or less. ",""))))))&amp;IF($E210="","Drive minutes per visit is missing. ",IF(NOT(ISNUMBER($E210)),"Drive minutes per visit must be a number. ",IF($E210&lt;0,"Drive minutes per visit can't be negative. ",IF(ROUND($E210,2)&lt;&gt;$E210,"Drive minutes per visit: use up to 2 decimal places. ",IF($E210&gt;600,"Drive minutes per visit: use 600 or less. ","")))))&amp;IF($F210="","Drive miles per visit is missing. ",IF(NOT(ISNUMBER($F210)),"Drive miles per visit must be a number. ",IF($F210&lt;0,"Drive miles per visit can't be negative. ",IF(ROUND($F210,2)&lt;&gt;$F210,"Drive miles per visit: use up to 2 decimal places. ",IF($F210&gt;1000,"Drive miles per visit: use 1,000 or less. ","")))))&amp;IF($G210="","Chemicals per visit is missing. ",IF(NOT(ISNUMBER($G210)),"Chemicals per visit must be a number. ",IF($G210&lt;0,"Chemicals per visit can't be negative. ",IF(ROUND($G210,2)&lt;&gt;$G210,"Chemicals per visit: use up to 2 decimal places. ",IF($G210&gt;9999.99,"Chemicals per visit: use 9,999.99 or less. ","")))))&amp;IF($H210="","Other monthly costs is missing. ",IF(NOT(ISNUMBER($H210)),"Other monthly costs must be a number. ",IF($H210&lt;0,"Other monthly costs can't be negative. ",IF(ROUND($H210,2)&lt;&gt;$H210,"Other monthly costs: use up to 2 decimal places. ",IF($H210&gt;99999.99,"Other monthly costs: use 99,999.99 or less. ","")))))&amp;IF(SettingsOK,"","Settings incomplete.")))</f>
        <v/>
      </c>
      <c r="T210" s="23" t="str">
        <f aca="false">IF(AND($A210="",$B210="",$C210="",$D210="",$E210="",$F210="",$G210="",$H210=""),"",IF(Review!$B$5="Check inputs",IF($R210="Check inputs",ROW(),""),IF($R210="Check inputs",IF(Review!$B$5="All accounts",-2000000000000000+ROW(),""),IF(AND(Review!$B$5="Needs review",$R210="Meets your target"),"",IF($R210="No fee entered",-1000000000000000+ROW(),$N210/$B210+ROW()/1000000000)))))</f>
        <v/>
      </c>
    </row>
    <row r="211" customFormat="false" ht="15" hidden="false" customHeight="false" outlineLevel="0" collapsed="false">
      <c r="A211" s="14"/>
      <c r="B211" s="15"/>
      <c r="C211" s="16"/>
      <c r="D211" s="14"/>
      <c r="E211" s="14"/>
      <c r="F211" s="14"/>
      <c r="G211" s="15"/>
      <c r="H211" s="15"/>
      <c r="I211" s="17" t="str">
        <f aca="false">IF(OR(AND($A211="",$B211="",$C211="",$D211="",$E211="",$F211="",$G211="",$H211=""),NOT($S211="")),"",ROUND($C211*($D211+$E211)/60,4))</f>
        <v/>
      </c>
      <c r="J211" s="18" t="str">
        <f aca="false">IF(OR(AND($A211="",$B211="",$C211="",$D211="",$E211="",$F211="",$G211="",$H211=""),NOT($S211="")),"",ROUND(ROUND($C211*($D211+$E211)/60*$B$5,9),2))</f>
        <v/>
      </c>
      <c r="K211" s="18" t="str">
        <f aca="false">IF(OR(AND($A211="",$B211="",$C211="",$D211="",$E211="",$F211="",$G211="",$H211=""),NOT($S211="")),"",ROUND(ROUND($C211*$F211*$B$6,9),2))</f>
        <v/>
      </c>
      <c r="L211" s="18" t="str">
        <f aca="false">IF(OR(AND($A211="",$B211="",$C211="",$D211="",$E211="",$F211="",$G211="",$H211=""),NOT($S211="")),"",ROUND(ROUND($C211*$G211,9),2))</f>
        <v/>
      </c>
      <c r="M211" s="19" t="str">
        <f aca="false">IF(OR(AND($A211="",$B211="",$C211="",$D211="",$E211="",$F211="",$G211="",$H211=""),NOT($S211="")),"",ROUND($J211+$K211+$L211+$H211,2))</f>
        <v/>
      </c>
      <c r="N211" s="19" t="str">
        <f aca="false">IF(OR(AND($A211="",$B211="",$C211="",$D211="",$E211="",$F211="",$G211="",$H211=""),NOT($S211="")),"",ROUND($B211-$M211,2))</f>
        <v/>
      </c>
      <c r="O211" s="20" t="str">
        <f aca="false">IF(OR(AND($A211="",$B211="",$C211="",$D211="",$E211="",$F211="",$G211="",$H211=""),NOT($S211="")),"",IF($B211=0,"n/a",INT(ROUND($N211/$B211*10000,6))/10000))</f>
        <v/>
      </c>
      <c r="P211" s="18" t="str">
        <f aca="false">IF(OR(AND($A211="",$B211="",$C211="",$D211="",$E211="",$F211="",$G211="",$H211=""),NOT($S211="")),"",ROUNDUP(ROUND($M211*10000/(10000-TargetH),9),2))</f>
        <v/>
      </c>
      <c r="Q211" s="18" t="str">
        <f aca="false">IF(OR(AND($A211="",$B211="",$C211="",$D211="",$E211="",$F211="",$G211="",$H211=""),NOT($S211="")),"",MAX(0,ROUND($P211-$B211,2)))</f>
        <v/>
      </c>
      <c r="R211" s="21" t="str">
        <f aca="false">IF(AND($A211="",$B211="",$C211="",$D211="",$E211="",$F211="",$G211="",$H211=""),"",IF(NOT($S211=""),"Check inputs",IF($B211=0,"No fee entered",IF($N211&lt;0,"Losing money on entered costs",IF(ROUND($N211*100,0)*10000&lt;TargetH*ROUND($B211*100,0),"Below your target","Meets your target")))))</f>
        <v/>
      </c>
      <c r="S211" s="22" t="str">
        <f aca="false">IF(AND($A211="",$B211="",$C211="",$D211="",$E211="",$F211="",$G211="",$H211=""),"",TRIM(IF($A211="","Customer/site label is missing. ","")&amp;IF($B211="","Monthly fee is missing. ",IF(NOT(ISNUMBER($B211)),"Monthly fee must be a number. ",IF($B211&lt;0,"Monthly fee can't be negative. ",IF(ROUND($B211,2)&lt;&gt;$B211,"Monthly fee: use up to 2 decimal places. ",IF($B211&gt;99999.99,"Monthly fee: use 99,999.99 or less. ","")))))&amp;IF($C211="","Visits per month is missing. ",IF(NOT(ISNUMBER($C211)),"Visits per month must be a number. ",IF($C211&lt;0,"Visits per month can't be negative. ",IF(ROUND($C211,3)&lt;&gt;$C211,"Visits per month: use up to 3 decimal places. ",IF($C211=0,"Visits per month must be more than 0. ",IF($C211&gt;31,"Visits per month: use 31 or less. ",""))))))&amp;IF($D211="","Service minutes per visit is missing. ",IF(NOT(ISNUMBER($D211)),"Service minutes per visit must be a number. ",IF($D211&lt;0,"Service minutes per visit can't be negative. ",IF(ROUND($D211,2)&lt;&gt;$D211,"Service minutes per visit: use up to 2 decimal places. ",IF($D211=0,"Service minutes per visit must be more than 0. ",IF($D211&gt;600,"Service minutes per visit: use 600 or less. ",""))))))&amp;IF($E211="","Drive minutes per visit is missing. ",IF(NOT(ISNUMBER($E211)),"Drive minutes per visit must be a number. ",IF($E211&lt;0,"Drive minutes per visit can't be negative. ",IF(ROUND($E211,2)&lt;&gt;$E211,"Drive minutes per visit: use up to 2 decimal places. ",IF($E211&gt;600,"Drive minutes per visit: use 600 or less. ","")))))&amp;IF($F211="","Drive miles per visit is missing. ",IF(NOT(ISNUMBER($F211)),"Drive miles per visit must be a number. ",IF($F211&lt;0,"Drive miles per visit can't be negative. ",IF(ROUND($F211,2)&lt;&gt;$F211,"Drive miles per visit: use up to 2 decimal places. ",IF($F211&gt;1000,"Drive miles per visit: use 1,000 or less. ","")))))&amp;IF($G211="","Chemicals per visit is missing. ",IF(NOT(ISNUMBER($G211)),"Chemicals per visit must be a number. ",IF($G211&lt;0,"Chemicals per visit can't be negative. ",IF(ROUND($G211,2)&lt;&gt;$G211,"Chemicals per visit: use up to 2 decimal places. ",IF($G211&gt;9999.99,"Chemicals per visit: use 9,999.99 or less. ","")))))&amp;IF($H211="","Other monthly costs is missing. ",IF(NOT(ISNUMBER($H211)),"Other monthly costs must be a number. ",IF($H211&lt;0,"Other monthly costs can't be negative. ",IF(ROUND($H211,2)&lt;&gt;$H211,"Other monthly costs: use up to 2 decimal places. ",IF($H211&gt;99999.99,"Other monthly costs: use 99,999.99 or less. ","")))))&amp;IF(SettingsOK,"","Settings incomplete.")))</f>
        <v/>
      </c>
      <c r="T211" s="23" t="str">
        <f aca="false">IF(AND($A211="",$B211="",$C211="",$D211="",$E211="",$F211="",$G211="",$H211=""),"",IF(Review!$B$5="Check inputs",IF($R211="Check inputs",ROW(),""),IF($R211="Check inputs",IF(Review!$B$5="All accounts",-2000000000000000+ROW(),""),IF(AND(Review!$B$5="Needs review",$R211="Meets your target"),"",IF($R211="No fee entered",-1000000000000000+ROW(),$N211/$B211+ROW()/1000000000)))))</f>
        <v/>
      </c>
    </row>
    <row r="212" customFormat="false" ht="15" hidden="false" customHeight="false" outlineLevel="0" collapsed="false">
      <c r="A212" s="14"/>
      <c r="B212" s="15"/>
      <c r="C212" s="16"/>
      <c r="D212" s="14"/>
      <c r="E212" s="14"/>
      <c r="F212" s="14"/>
      <c r="G212" s="15"/>
      <c r="H212" s="15"/>
      <c r="I212" s="17" t="str">
        <f aca="false">IF(OR(AND($A212="",$B212="",$C212="",$D212="",$E212="",$F212="",$G212="",$H212=""),NOT($S212="")),"",ROUND($C212*($D212+$E212)/60,4))</f>
        <v/>
      </c>
      <c r="J212" s="18" t="str">
        <f aca="false">IF(OR(AND($A212="",$B212="",$C212="",$D212="",$E212="",$F212="",$G212="",$H212=""),NOT($S212="")),"",ROUND(ROUND($C212*($D212+$E212)/60*$B$5,9),2))</f>
        <v/>
      </c>
      <c r="K212" s="18" t="str">
        <f aca="false">IF(OR(AND($A212="",$B212="",$C212="",$D212="",$E212="",$F212="",$G212="",$H212=""),NOT($S212="")),"",ROUND(ROUND($C212*$F212*$B$6,9),2))</f>
        <v/>
      </c>
      <c r="L212" s="18" t="str">
        <f aca="false">IF(OR(AND($A212="",$B212="",$C212="",$D212="",$E212="",$F212="",$G212="",$H212=""),NOT($S212="")),"",ROUND(ROUND($C212*$G212,9),2))</f>
        <v/>
      </c>
      <c r="M212" s="19" t="str">
        <f aca="false">IF(OR(AND($A212="",$B212="",$C212="",$D212="",$E212="",$F212="",$G212="",$H212=""),NOT($S212="")),"",ROUND($J212+$K212+$L212+$H212,2))</f>
        <v/>
      </c>
      <c r="N212" s="19" t="str">
        <f aca="false">IF(OR(AND($A212="",$B212="",$C212="",$D212="",$E212="",$F212="",$G212="",$H212=""),NOT($S212="")),"",ROUND($B212-$M212,2))</f>
        <v/>
      </c>
      <c r="O212" s="20" t="str">
        <f aca="false">IF(OR(AND($A212="",$B212="",$C212="",$D212="",$E212="",$F212="",$G212="",$H212=""),NOT($S212="")),"",IF($B212=0,"n/a",INT(ROUND($N212/$B212*10000,6))/10000))</f>
        <v/>
      </c>
      <c r="P212" s="18" t="str">
        <f aca="false">IF(OR(AND($A212="",$B212="",$C212="",$D212="",$E212="",$F212="",$G212="",$H212=""),NOT($S212="")),"",ROUNDUP(ROUND($M212*10000/(10000-TargetH),9),2))</f>
        <v/>
      </c>
      <c r="Q212" s="18" t="str">
        <f aca="false">IF(OR(AND($A212="",$B212="",$C212="",$D212="",$E212="",$F212="",$G212="",$H212=""),NOT($S212="")),"",MAX(0,ROUND($P212-$B212,2)))</f>
        <v/>
      </c>
      <c r="R212" s="21" t="str">
        <f aca="false">IF(AND($A212="",$B212="",$C212="",$D212="",$E212="",$F212="",$G212="",$H212=""),"",IF(NOT($S212=""),"Check inputs",IF($B212=0,"No fee entered",IF($N212&lt;0,"Losing money on entered costs",IF(ROUND($N212*100,0)*10000&lt;TargetH*ROUND($B212*100,0),"Below your target","Meets your target")))))</f>
        <v/>
      </c>
      <c r="S212" s="22" t="str">
        <f aca="false">IF(AND($A212="",$B212="",$C212="",$D212="",$E212="",$F212="",$G212="",$H212=""),"",TRIM(IF($A212="","Customer/site label is missing. ","")&amp;IF($B212="","Monthly fee is missing. ",IF(NOT(ISNUMBER($B212)),"Monthly fee must be a number. ",IF($B212&lt;0,"Monthly fee can't be negative. ",IF(ROUND($B212,2)&lt;&gt;$B212,"Monthly fee: use up to 2 decimal places. ",IF($B212&gt;99999.99,"Monthly fee: use 99,999.99 or less. ","")))))&amp;IF($C212="","Visits per month is missing. ",IF(NOT(ISNUMBER($C212)),"Visits per month must be a number. ",IF($C212&lt;0,"Visits per month can't be negative. ",IF(ROUND($C212,3)&lt;&gt;$C212,"Visits per month: use up to 3 decimal places. ",IF($C212=0,"Visits per month must be more than 0. ",IF($C212&gt;31,"Visits per month: use 31 or less. ",""))))))&amp;IF($D212="","Service minutes per visit is missing. ",IF(NOT(ISNUMBER($D212)),"Service minutes per visit must be a number. ",IF($D212&lt;0,"Service minutes per visit can't be negative. ",IF(ROUND($D212,2)&lt;&gt;$D212,"Service minutes per visit: use up to 2 decimal places. ",IF($D212=0,"Service minutes per visit must be more than 0. ",IF($D212&gt;600,"Service minutes per visit: use 600 or less. ",""))))))&amp;IF($E212="","Drive minutes per visit is missing. ",IF(NOT(ISNUMBER($E212)),"Drive minutes per visit must be a number. ",IF($E212&lt;0,"Drive minutes per visit can't be negative. ",IF(ROUND($E212,2)&lt;&gt;$E212,"Drive minutes per visit: use up to 2 decimal places. ",IF($E212&gt;600,"Drive minutes per visit: use 600 or less. ","")))))&amp;IF($F212="","Drive miles per visit is missing. ",IF(NOT(ISNUMBER($F212)),"Drive miles per visit must be a number. ",IF($F212&lt;0,"Drive miles per visit can't be negative. ",IF(ROUND($F212,2)&lt;&gt;$F212,"Drive miles per visit: use up to 2 decimal places. ",IF($F212&gt;1000,"Drive miles per visit: use 1,000 or less. ","")))))&amp;IF($G212="","Chemicals per visit is missing. ",IF(NOT(ISNUMBER($G212)),"Chemicals per visit must be a number. ",IF($G212&lt;0,"Chemicals per visit can't be negative. ",IF(ROUND($G212,2)&lt;&gt;$G212,"Chemicals per visit: use up to 2 decimal places. ",IF($G212&gt;9999.99,"Chemicals per visit: use 9,999.99 or less. ","")))))&amp;IF($H212="","Other monthly costs is missing. ",IF(NOT(ISNUMBER($H212)),"Other monthly costs must be a number. ",IF($H212&lt;0,"Other monthly costs can't be negative. ",IF(ROUND($H212,2)&lt;&gt;$H212,"Other monthly costs: use up to 2 decimal places. ",IF($H212&gt;99999.99,"Other monthly costs: use 99,999.99 or less. ","")))))&amp;IF(SettingsOK,"","Settings incomplete.")))</f>
        <v/>
      </c>
      <c r="T212" s="23" t="str">
        <f aca="false">IF(AND($A212="",$B212="",$C212="",$D212="",$E212="",$F212="",$G212="",$H212=""),"",IF(Review!$B$5="Check inputs",IF($R212="Check inputs",ROW(),""),IF($R212="Check inputs",IF(Review!$B$5="All accounts",-2000000000000000+ROW(),""),IF(AND(Review!$B$5="Needs review",$R212="Meets your target"),"",IF($R212="No fee entered",-1000000000000000+ROW(),$N212/$B212+ROW()/1000000000)))))</f>
        <v/>
      </c>
    </row>
    <row r="213" customFormat="false" ht="15" hidden="false" customHeight="false" outlineLevel="0" collapsed="false">
      <c r="A213" s="14"/>
      <c r="B213" s="15"/>
      <c r="C213" s="16"/>
      <c r="D213" s="14"/>
      <c r="E213" s="14"/>
      <c r="F213" s="14"/>
      <c r="G213" s="15"/>
      <c r="H213" s="15"/>
      <c r="I213" s="17" t="str">
        <f aca="false">IF(OR(AND($A213="",$B213="",$C213="",$D213="",$E213="",$F213="",$G213="",$H213=""),NOT($S213="")),"",ROUND($C213*($D213+$E213)/60,4))</f>
        <v/>
      </c>
      <c r="J213" s="18" t="str">
        <f aca="false">IF(OR(AND($A213="",$B213="",$C213="",$D213="",$E213="",$F213="",$G213="",$H213=""),NOT($S213="")),"",ROUND(ROUND($C213*($D213+$E213)/60*$B$5,9),2))</f>
        <v/>
      </c>
      <c r="K213" s="18" t="str">
        <f aca="false">IF(OR(AND($A213="",$B213="",$C213="",$D213="",$E213="",$F213="",$G213="",$H213=""),NOT($S213="")),"",ROUND(ROUND($C213*$F213*$B$6,9),2))</f>
        <v/>
      </c>
      <c r="L213" s="18" t="str">
        <f aca="false">IF(OR(AND($A213="",$B213="",$C213="",$D213="",$E213="",$F213="",$G213="",$H213=""),NOT($S213="")),"",ROUND(ROUND($C213*$G213,9),2))</f>
        <v/>
      </c>
      <c r="M213" s="19" t="str">
        <f aca="false">IF(OR(AND($A213="",$B213="",$C213="",$D213="",$E213="",$F213="",$G213="",$H213=""),NOT($S213="")),"",ROUND($J213+$K213+$L213+$H213,2))</f>
        <v/>
      </c>
      <c r="N213" s="19" t="str">
        <f aca="false">IF(OR(AND($A213="",$B213="",$C213="",$D213="",$E213="",$F213="",$G213="",$H213=""),NOT($S213="")),"",ROUND($B213-$M213,2))</f>
        <v/>
      </c>
      <c r="O213" s="20" t="str">
        <f aca="false">IF(OR(AND($A213="",$B213="",$C213="",$D213="",$E213="",$F213="",$G213="",$H213=""),NOT($S213="")),"",IF($B213=0,"n/a",INT(ROUND($N213/$B213*10000,6))/10000))</f>
        <v/>
      </c>
      <c r="P213" s="18" t="str">
        <f aca="false">IF(OR(AND($A213="",$B213="",$C213="",$D213="",$E213="",$F213="",$G213="",$H213=""),NOT($S213="")),"",ROUNDUP(ROUND($M213*10000/(10000-TargetH),9),2))</f>
        <v/>
      </c>
      <c r="Q213" s="18" t="str">
        <f aca="false">IF(OR(AND($A213="",$B213="",$C213="",$D213="",$E213="",$F213="",$G213="",$H213=""),NOT($S213="")),"",MAX(0,ROUND($P213-$B213,2)))</f>
        <v/>
      </c>
      <c r="R213" s="21" t="str">
        <f aca="false">IF(AND($A213="",$B213="",$C213="",$D213="",$E213="",$F213="",$G213="",$H213=""),"",IF(NOT($S213=""),"Check inputs",IF($B213=0,"No fee entered",IF($N213&lt;0,"Losing money on entered costs",IF(ROUND($N213*100,0)*10000&lt;TargetH*ROUND($B213*100,0),"Below your target","Meets your target")))))</f>
        <v/>
      </c>
      <c r="S213" s="22" t="str">
        <f aca="false">IF(AND($A213="",$B213="",$C213="",$D213="",$E213="",$F213="",$G213="",$H213=""),"",TRIM(IF($A213="","Customer/site label is missing. ","")&amp;IF($B213="","Monthly fee is missing. ",IF(NOT(ISNUMBER($B213)),"Monthly fee must be a number. ",IF($B213&lt;0,"Monthly fee can't be negative. ",IF(ROUND($B213,2)&lt;&gt;$B213,"Monthly fee: use up to 2 decimal places. ",IF($B213&gt;99999.99,"Monthly fee: use 99,999.99 or less. ","")))))&amp;IF($C213="","Visits per month is missing. ",IF(NOT(ISNUMBER($C213)),"Visits per month must be a number. ",IF($C213&lt;0,"Visits per month can't be negative. ",IF(ROUND($C213,3)&lt;&gt;$C213,"Visits per month: use up to 3 decimal places. ",IF($C213=0,"Visits per month must be more than 0. ",IF($C213&gt;31,"Visits per month: use 31 or less. ",""))))))&amp;IF($D213="","Service minutes per visit is missing. ",IF(NOT(ISNUMBER($D213)),"Service minutes per visit must be a number. ",IF($D213&lt;0,"Service minutes per visit can't be negative. ",IF(ROUND($D213,2)&lt;&gt;$D213,"Service minutes per visit: use up to 2 decimal places. ",IF($D213=0,"Service minutes per visit must be more than 0. ",IF($D213&gt;600,"Service minutes per visit: use 600 or less. ",""))))))&amp;IF($E213="","Drive minutes per visit is missing. ",IF(NOT(ISNUMBER($E213)),"Drive minutes per visit must be a number. ",IF($E213&lt;0,"Drive minutes per visit can't be negative. ",IF(ROUND($E213,2)&lt;&gt;$E213,"Drive minutes per visit: use up to 2 decimal places. ",IF($E213&gt;600,"Drive minutes per visit: use 600 or less. ","")))))&amp;IF($F213="","Drive miles per visit is missing. ",IF(NOT(ISNUMBER($F213)),"Drive miles per visit must be a number. ",IF($F213&lt;0,"Drive miles per visit can't be negative. ",IF(ROUND($F213,2)&lt;&gt;$F213,"Drive miles per visit: use up to 2 decimal places. ",IF($F213&gt;1000,"Drive miles per visit: use 1,000 or less. ","")))))&amp;IF($G213="","Chemicals per visit is missing. ",IF(NOT(ISNUMBER($G213)),"Chemicals per visit must be a number. ",IF($G213&lt;0,"Chemicals per visit can't be negative. ",IF(ROUND($G213,2)&lt;&gt;$G213,"Chemicals per visit: use up to 2 decimal places. ",IF($G213&gt;9999.99,"Chemicals per visit: use 9,999.99 or less. ","")))))&amp;IF($H213="","Other monthly costs is missing. ",IF(NOT(ISNUMBER($H213)),"Other monthly costs must be a number. ",IF($H213&lt;0,"Other monthly costs can't be negative. ",IF(ROUND($H213,2)&lt;&gt;$H213,"Other monthly costs: use up to 2 decimal places. ",IF($H213&gt;99999.99,"Other monthly costs: use 99,999.99 or less. ","")))))&amp;IF(SettingsOK,"","Settings incomplete.")))</f>
        <v/>
      </c>
      <c r="T213" s="23" t="str">
        <f aca="false">IF(AND($A213="",$B213="",$C213="",$D213="",$E213="",$F213="",$G213="",$H213=""),"",IF(Review!$B$5="Check inputs",IF($R213="Check inputs",ROW(),""),IF($R213="Check inputs",IF(Review!$B$5="All accounts",-2000000000000000+ROW(),""),IF(AND(Review!$B$5="Needs review",$R213="Meets your target"),"",IF($R213="No fee entered",-1000000000000000+ROW(),$N213/$B213+ROW()/1000000000)))))</f>
        <v/>
      </c>
    </row>
    <row r="214" customFormat="false" ht="15" hidden="false" customHeight="false" outlineLevel="0" collapsed="false">
      <c r="A214" s="14"/>
      <c r="B214" s="15"/>
      <c r="C214" s="16"/>
      <c r="D214" s="14"/>
      <c r="E214" s="14"/>
      <c r="F214" s="14"/>
      <c r="G214" s="15"/>
      <c r="H214" s="15"/>
      <c r="I214" s="17" t="str">
        <f aca="false">IF(OR(AND($A214="",$B214="",$C214="",$D214="",$E214="",$F214="",$G214="",$H214=""),NOT($S214="")),"",ROUND($C214*($D214+$E214)/60,4))</f>
        <v/>
      </c>
      <c r="J214" s="18" t="str">
        <f aca="false">IF(OR(AND($A214="",$B214="",$C214="",$D214="",$E214="",$F214="",$G214="",$H214=""),NOT($S214="")),"",ROUND(ROUND($C214*($D214+$E214)/60*$B$5,9),2))</f>
        <v/>
      </c>
      <c r="K214" s="18" t="str">
        <f aca="false">IF(OR(AND($A214="",$B214="",$C214="",$D214="",$E214="",$F214="",$G214="",$H214=""),NOT($S214="")),"",ROUND(ROUND($C214*$F214*$B$6,9),2))</f>
        <v/>
      </c>
      <c r="L214" s="18" t="str">
        <f aca="false">IF(OR(AND($A214="",$B214="",$C214="",$D214="",$E214="",$F214="",$G214="",$H214=""),NOT($S214="")),"",ROUND(ROUND($C214*$G214,9),2))</f>
        <v/>
      </c>
      <c r="M214" s="19" t="str">
        <f aca="false">IF(OR(AND($A214="",$B214="",$C214="",$D214="",$E214="",$F214="",$G214="",$H214=""),NOT($S214="")),"",ROUND($J214+$K214+$L214+$H214,2))</f>
        <v/>
      </c>
      <c r="N214" s="19" t="str">
        <f aca="false">IF(OR(AND($A214="",$B214="",$C214="",$D214="",$E214="",$F214="",$G214="",$H214=""),NOT($S214="")),"",ROUND($B214-$M214,2))</f>
        <v/>
      </c>
      <c r="O214" s="20" t="str">
        <f aca="false">IF(OR(AND($A214="",$B214="",$C214="",$D214="",$E214="",$F214="",$G214="",$H214=""),NOT($S214="")),"",IF($B214=0,"n/a",INT(ROUND($N214/$B214*10000,6))/10000))</f>
        <v/>
      </c>
      <c r="P214" s="18" t="str">
        <f aca="false">IF(OR(AND($A214="",$B214="",$C214="",$D214="",$E214="",$F214="",$G214="",$H214=""),NOT($S214="")),"",ROUNDUP(ROUND($M214*10000/(10000-TargetH),9),2))</f>
        <v/>
      </c>
      <c r="Q214" s="18" t="str">
        <f aca="false">IF(OR(AND($A214="",$B214="",$C214="",$D214="",$E214="",$F214="",$G214="",$H214=""),NOT($S214="")),"",MAX(0,ROUND($P214-$B214,2)))</f>
        <v/>
      </c>
      <c r="R214" s="21" t="str">
        <f aca="false">IF(AND($A214="",$B214="",$C214="",$D214="",$E214="",$F214="",$G214="",$H214=""),"",IF(NOT($S214=""),"Check inputs",IF($B214=0,"No fee entered",IF($N214&lt;0,"Losing money on entered costs",IF(ROUND($N214*100,0)*10000&lt;TargetH*ROUND($B214*100,0),"Below your target","Meets your target")))))</f>
        <v/>
      </c>
      <c r="S214" s="22" t="str">
        <f aca="false">IF(AND($A214="",$B214="",$C214="",$D214="",$E214="",$F214="",$G214="",$H214=""),"",TRIM(IF($A214="","Customer/site label is missing. ","")&amp;IF($B214="","Monthly fee is missing. ",IF(NOT(ISNUMBER($B214)),"Monthly fee must be a number. ",IF($B214&lt;0,"Monthly fee can't be negative. ",IF(ROUND($B214,2)&lt;&gt;$B214,"Monthly fee: use up to 2 decimal places. ",IF($B214&gt;99999.99,"Monthly fee: use 99,999.99 or less. ","")))))&amp;IF($C214="","Visits per month is missing. ",IF(NOT(ISNUMBER($C214)),"Visits per month must be a number. ",IF($C214&lt;0,"Visits per month can't be negative. ",IF(ROUND($C214,3)&lt;&gt;$C214,"Visits per month: use up to 3 decimal places. ",IF($C214=0,"Visits per month must be more than 0. ",IF($C214&gt;31,"Visits per month: use 31 or less. ",""))))))&amp;IF($D214="","Service minutes per visit is missing. ",IF(NOT(ISNUMBER($D214)),"Service minutes per visit must be a number. ",IF($D214&lt;0,"Service minutes per visit can't be negative. ",IF(ROUND($D214,2)&lt;&gt;$D214,"Service minutes per visit: use up to 2 decimal places. ",IF($D214=0,"Service minutes per visit must be more than 0. ",IF($D214&gt;600,"Service minutes per visit: use 600 or less. ",""))))))&amp;IF($E214="","Drive minutes per visit is missing. ",IF(NOT(ISNUMBER($E214)),"Drive minutes per visit must be a number. ",IF($E214&lt;0,"Drive minutes per visit can't be negative. ",IF(ROUND($E214,2)&lt;&gt;$E214,"Drive minutes per visit: use up to 2 decimal places. ",IF($E214&gt;600,"Drive minutes per visit: use 600 or less. ","")))))&amp;IF($F214="","Drive miles per visit is missing. ",IF(NOT(ISNUMBER($F214)),"Drive miles per visit must be a number. ",IF($F214&lt;0,"Drive miles per visit can't be negative. ",IF(ROUND($F214,2)&lt;&gt;$F214,"Drive miles per visit: use up to 2 decimal places. ",IF($F214&gt;1000,"Drive miles per visit: use 1,000 or less. ","")))))&amp;IF($G214="","Chemicals per visit is missing. ",IF(NOT(ISNUMBER($G214)),"Chemicals per visit must be a number. ",IF($G214&lt;0,"Chemicals per visit can't be negative. ",IF(ROUND($G214,2)&lt;&gt;$G214,"Chemicals per visit: use up to 2 decimal places. ",IF($G214&gt;9999.99,"Chemicals per visit: use 9,999.99 or less. ","")))))&amp;IF($H214="","Other monthly costs is missing. ",IF(NOT(ISNUMBER($H214)),"Other monthly costs must be a number. ",IF($H214&lt;0,"Other monthly costs can't be negative. ",IF(ROUND($H214,2)&lt;&gt;$H214,"Other monthly costs: use up to 2 decimal places. ",IF($H214&gt;99999.99,"Other monthly costs: use 99,999.99 or less. ","")))))&amp;IF(SettingsOK,"","Settings incomplete.")))</f>
        <v/>
      </c>
      <c r="T214" s="23" t="str">
        <f aca="false">IF(AND($A214="",$B214="",$C214="",$D214="",$E214="",$F214="",$G214="",$H214=""),"",IF(Review!$B$5="Check inputs",IF($R214="Check inputs",ROW(),""),IF($R214="Check inputs",IF(Review!$B$5="All accounts",-2000000000000000+ROW(),""),IF(AND(Review!$B$5="Needs review",$R214="Meets your target"),"",IF($R214="No fee entered",-1000000000000000+ROW(),$N214/$B214+ROW()/1000000000)))))</f>
        <v/>
      </c>
    </row>
    <row r="215" customFormat="false" ht="15" hidden="false" customHeight="false" outlineLevel="0" collapsed="false">
      <c r="A215" s="14"/>
      <c r="B215" s="15"/>
      <c r="C215" s="16"/>
      <c r="D215" s="14"/>
      <c r="E215" s="14"/>
      <c r="F215" s="14"/>
      <c r="G215" s="15"/>
      <c r="H215" s="15"/>
      <c r="I215" s="17" t="str">
        <f aca="false">IF(OR(AND($A215="",$B215="",$C215="",$D215="",$E215="",$F215="",$G215="",$H215=""),NOT($S215="")),"",ROUND($C215*($D215+$E215)/60,4))</f>
        <v/>
      </c>
      <c r="J215" s="18" t="str">
        <f aca="false">IF(OR(AND($A215="",$B215="",$C215="",$D215="",$E215="",$F215="",$G215="",$H215=""),NOT($S215="")),"",ROUND(ROUND($C215*($D215+$E215)/60*$B$5,9),2))</f>
        <v/>
      </c>
      <c r="K215" s="18" t="str">
        <f aca="false">IF(OR(AND($A215="",$B215="",$C215="",$D215="",$E215="",$F215="",$G215="",$H215=""),NOT($S215="")),"",ROUND(ROUND($C215*$F215*$B$6,9),2))</f>
        <v/>
      </c>
      <c r="L215" s="18" t="str">
        <f aca="false">IF(OR(AND($A215="",$B215="",$C215="",$D215="",$E215="",$F215="",$G215="",$H215=""),NOT($S215="")),"",ROUND(ROUND($C215*$G215,9),2))</f>
        <v/>
      </c>
      <c r="M215" s="19" t="str">
        <f aca="false">IF(OR(AND($A215="",$B215="",$C215="",$D215="",$E215="",$F215="",$G215="",$H215=""),NOT($S215="")),"",ROUND($J215+$K215+$L215+$H215,2))</f>
        <v/>
      </c>
      <c r="N215" s="19" t="str">
        <f aca="false">IF(OR(AND($A215="",$B215="",$C215="",$D215="",$E215="",$F215="",$G215="",$H215=""),NOT($S215="")),"",ROUND($B215-$M215,2))</f>
        <v/>
      </c>
      <c r="O215" s="20" t="str">
        <f aca="false">IF(OR(AND($A215="",$B215="",$C215="",$D215="",$E215="",$F215="",$G215="",$H215=""),NOT($S215="")),"",IF($B215=0,"n/a",INT(ROUND($N215/$B215*10000,6))/10000))</f>
        <v/>
      </c>
      <c r="P215" s="18" t="str">
        <f aca="false">IF(OR(AND($A215="",$B215="",$C215="",$D215="",$E215="",$F215="",$G215="",$H215=""),NOT($S215="")),"",ROUNDUP(ROUND($M215*10000/(10000-TargetH),9),2))</f>
        <v/>
      </c>
      <c r="Q215" s="18" t="str">
        <f aca="false">IF(OR(AND($A215="",$B215="",$C215="",$D215="",$E215="",$F215="",$G215="",$H215=""),NOT($S215="")),"",MAX(0,ROUND($P215-$B215,2)))</f>
        <v/>
      </c>
      <c r="R215" s="21" t="str">
        <f aca="false">IF(AND($A215="",$B215="",$C215="",$D215="",$E215="",$F215="",$G215="",$H215=""),"",IF(NOT($S215=""),"Check inputs",IF($B215=0,"No fee entered",IF($N215&lt;0,"Losing money on entered costs",IF(ROUND($N215*100,0)*10000&lt;TargetH*ROUND($B215*100,0),"Below your target","Meets your target")))))</f>
        <v/>
      </c>
      <c r="S215" s="22" t="str">
        <f aca="false">IF(AND($A215="",$B215="",$C215="",$D215="",$E215="",$F215="",$G215="",$H215=""),"",TRIM(IF($A215="","Customer/site label is missing. ","")&amp;IF($B215="","Monthly fee is missing. ",IF(NOT(ISNUMBER($B215)),"Monthly fee must be a number. ",IF($B215&lt;0,"Monthly fee can't be negative. ",IF(ROUND($B215,2)&lt;&gt;$B215,"Monthly fee: use up to 2 decimal places. ",IF($B215&gt;99999.99,"Monthly fee: use 99,999.99 or less. ","")))))&amp;IF($C215="","Visits per month is missing. ",IF(NOT(ISNUMBER($C215)),"Visits per month must be a number. ",IF($C215&lt;0,"Visits per month can't be negative. ",IF(ROUND($C215,3)&lt;&gt;$C215,"Visits per month: use up to 3 decimal places. ",IF($C215=0,"Visits per month must be more than 0. ",IF($C215&gt;31,"Visits per month: use 31 or less. ",""))))))&amp;IF($D215="","Service minutes per visit is missing. ",IF(NOT(ISNUMBER($D215)),"Service minutes per visit must be a number. ",IF($D215&lt;0,"Service minutes per visit can't be negative. ",IF(ROUND($D215,2)&lt;&gt;$D215,"Service minutes per visit: use up to 2 decimal places. ",IF($D215=0,"Service minutes per visit must be more than 0. ",IF($D215&gt;600,"Service minutes per visit: use 600 or less. ",""))))))&amp;IF($E215="","Drive minutes per visit is missing. ",IF(NOT(ISNUMBER($E215)),"Drive minutes per visit must be a number. ",IF($E215&lt;0,"Drive minutes per visit can't be negative. ",IF(ROUND($E215,2)&lt;&gt;$E215,"Drive minutes per visit: use up to 2 decimal places. ",IF($E215&gt;600,"Drive minutes per visit: use 600 or less. ","")))))&amp;IF($F215="","Drive miles per visit is missing. ",IF(NOT(ISNUMBER($F215)),"Drive miles per visit must be a number. ",IF($F215&lt;0,"Drive miles per visit can't be negative. ",IF(ROUND($F215,2)&lt;&gt;$F215,"Drive miles per visit: use up to 2 decimal places. ",IF($F215&gt;1000,"Drive miles per visit: use 1,000 or less. ","")))))&amp;IF($G215="","Chemicals per visit is missing. ",IF(NOT(ISNUMBER($G215)),"Chemicals per visit must be a number. ",IF($G215&lt;0,"Chemicals per visit can't be negative. ",IF(ROUND($G215,2)&lt;&gt;$G215,"Chemicals per visit: use up to 2 decimal places. ",IF($G215&gt;9999.99,"Chemicals per visit: use 9,999.99 or less. ","")))))&amp;IF($H215="","Other monthly costs is missing. ",IF(NOT(ISNUMBER($H215)),"Other monthly costs must be a number. ",IF($H215&lt;0,"Other monthly costs can't be negative. ",IF(ROUND($H215,2)&lt;&gt;$H215,"Other monthly costs: use up to 2 decimal places. ",IF($H215&gt;99999.99,"Other monthly costs: use 99,999.99 or less. ","")))))&amp;IF(SettingsOK,"","Settings incomplete.")))</f>
        <v/>
      </c>
      <c r="T215" s="23" t="str">
        <f aca="false">IF(AND($A215="",$B215="",$C215="",$D215="",$E215="",$F215="",$G215="",$H215=""),"",IF(Review!$B$5="Check inputs",IF($R215="Check inputs",ROW(),""),IF($R215="Check inputs",IF(Review!$B$5="All accounts",-2000000000000000+ROW(),""),IF(AND(Review!$B$5="Needs review",$R215="Meets your target"),"",IF($R215="No fee entered",-1000000000000000+ROW(),$N215/$B215+ROW()/1000000000)))))</f>
        <v/>
      </c>
    </row>
    <row r="216" customFormat="false" ht="15" hidden="false" customHeight="false" outlineLevel="0" collapsed="false">
      <c r="A216" s="14"/>
      <c r="B216" s="15"/>
      <c r="C216" s="16"/>
      <c r="D216" s="14"/>
      <c r="E216" s="14"/>
      <c r="F216" s="14"/>
      <c r="G216" s="15"/>
      <c r="H216" s="15"/>
      <c r="I216" s="17" t="str">
        <f aca="false">IF(OR(AND($A216="",$B216="",$C216="",$D216="",$E216="",$F216="",$G216="",$H216=""),NOT($S216="")),"",ROUND($C216*($D216+$E216)/60,4))</f>
        <v/>
      </c>
      <c r="J216" s="18" t="str">
        <f aca="false">IF(OR(AND($A216="",$B216="",$C216="",$D216="",$E216="",$F216="",$G216="",$H216=""),NOT($S216="")),"",ROUND(ROUND($C216*($D216+$E216)/60*$B$5,9),2))</f>
        <v/>
      </c>
      <c r="K216" s="18" t="str">
        <f aca="false">IF(OR(AND($A216="",$B216="",$C216="",$D216="",$E216="",$F216="",$G216="",$H216=""),NOT($S216="")),"",ROUND(ROUND($C216*$F216*$B$6,9),2))</f>
        <v/>
      </c>
      <c r="L216" s="18" t="str">
        <f aca="false">IF(OR(AND($A216="",$B216="",$C216="",$D216="",$E216="",$F216="",$G216="",$H216=""),NOT($S216="")),"",ROUND(ROUND($C216*$G216,9),2))</f>
        <v/>
      </c>
      <c r="M216" s="19" t="str">
        <f aca="false">IF(OR(AND($A216="",$B216="",$C216="",$D216="",$E216="",$F216="",$G216="",$H216=""),NOT($S216="")),"",ROUND($J216+$K216+$L216+$H216,2))</f>
        <v/>
      </c>
      <c r="N216" s="19" t="str">
        <f aca="false">IF(OR(AND($A216="",$B216="",$C216="",$D216="",$E216="",$F216="",$G216="",$H216=""),NOT($S216="")),"",ROUND($B216-$M216,2))</f>
        <v/>
      </c>
      <c r="O216" s="20" t="str">
        <f aca="false">IF(OR(AND($A216="",$B216="",$C216="",$D216="",$E216="",$F216="",$G216="",$H216=""),NOT($S216="")),"",IF($B216=0,"n/a",INT(ROUND($N216/$B216*10000,6))/10000))</f>
        <v/>
      </c>
      <c r="P216" s="18" t="str">
        <f aca="false">IF(OR(AND($A216="",$B216="",$C216="",$D216="",$E216="",$F216="",$G216="",$H216=""),NOT($S216="")),"",ROUNDUP(ROUND($M216*10000/(10000-TargetH),9),2))</f>
        <v/>
      </c>
      <c r="Q216" s="18" t="str">
        <f aca="false">IF(OR(AND($A216="",$B216="",$C216="",$D216="",$E216="",$F216="",$G216="",$H216=""),NOT($S216="")),"",MAX(0,ROUND($P216-$B216,2)))</f>
        <v/>
      </c>
      <c r="R216" s="21" t="str">
        <f aca="false">IF(AND($A216="",$B216="",$C216="",$D216="",$E216="",$F216="",$G216="",$H216=""),"",IF(NOT($S216=""),"Check inputs",IF($B216=0,"No fee entered",IF($N216&lt;0,"Losing money on entered costs",IF(ROUND($N216*100,0)*10000&lt;TargetH*ROUND($B216*100,0),"Below your target","Meets your target")))))</f>
        <v/>
      </c>
      <c r="S216" s="22" t="str">
        <f aca="false">IF(AND($A216="",$B216="",$C216="",$D216="",$E216="",$F216="",$G216="",$H216=""),"",TRIM(IF($A216="","Customer/site label is missing. ","")&amp;IF($B216="","Monthly fee is missing. ",IF(NOT(ISNUMBER($B216)),"Monthly fee must be a number. ",IF($B216&lt;0,"Monthly fee can't be negative. ",IF(ROUND($B216,2)&lt;&gt;$B216,"Monthly fee: use up to 2 decimal places. ",IF($B216&gt;99999.99,"Monthly fee: use 99,999.99 or less. ","")))))&amp;IF($C216="","Visits per month is missing. ",IF(NOT(ISNUMBER($C216)),"Visits per month must be a number. ",IF($C216&lt;0,"Visits per month can't be negative. ",IF(ROUND($C216,3)&lt;&gt;$C216,"Visits per month: use up to 3 decimal places. ",IF($C216=0,"Visits per month must be more than 0. ",IF($C216&gt;31,"Visits per month: use 31 or less. ",""))))))&amp;IF($D216="","Service minutes per visit is missing. ",IF(NOT(ISNUMBER($D216)),"Service minutes per visit must be a number. ",IF($D216&lt;0,"Service minutes per visit can't be negative. ",IF(ROUND($D216,2)&lt;&gt;$D216,"Service minutes per visit: use up to 2 decimal places. ",IF($D216=0,"Service minutes per visit must be more than 0. ",IF($D216&gt;600,"Service minutes per visit: use 600 or less. ",""))))))&amp;IF($E216="","Drive minutes per visit is missing. ",IF(NOT(ISNUMBER($E216)),"Drive minutes per visit must be a number. ",IF($E216&lt;0,"Drive minutes per visit can't be negative. ",IF(ROUND($E216,2)&lt;&gt;$E216,"Drive minutes per visit: use up to 2 decimal places. ",IF($E216&gt;600,"Drive minutes per visit: use 600 or less. ","")))))&amp;IF($F216="","Drive miles per visit is missing. ",IF(NOT(ISNUMBER($F216)),"Drive miles per visit must be a number. ",IF($F216&lt;0,"Drive miles per visit can't be negative. ",IF(ROUND($F216,2)&lt;&gt;$F216,"Drive miles per visit: use up to 2 decimal places. ",IF($F216&gt;1000,"Drive miles per visit: use 1,000 or less. ","")))))&amp;IF($G216="","Chemicals per visit is missing. ",IF(NOT(ISNUMBER($G216)),"Chemicals per visit must be a number. ",IF($G216&lt;0,"Chemicals per visit can't be negative. ",IF(ROUND($G216,2)&lt;&gt;$G216,"Chemicals per visit: use up to 2 decimal places. ",IF($G216&gt;9999.99,"Chemicals per visit: use 9,999.99 or less. ","")))))&amp;IF($H216="","Other monthly costs is missing. ",IF(NOT(ISNUMBER($H216)),"Other monthly costs must be a number. ",IF($H216&lt;0,"Other monthly costs can't be negative. ",IF(ROUND($H216,2)&lt;&gt;$H216,"Other monthly costs: use up to 2 decimal places. ",IF($H216&gt;99999.99,"Other monthly costs: use 99,999.99 or less. ","")))))&amp;IF(SettingsOK,"","Settings incomplete.")))</f>
        <v/>
      </c>
      <c r="T216" s="23" t="str">
        <f aca="false">IF(AND($A216="",$B216="",$C216="",$D216="",$E216="",$F216="",$G216="",$H216=""),"",IF(Review!$B$5="Check inputs",IF($R216="Check inputs",ROW(),""),IF($R216="Check inputs",IF(Review!$B$5="All accounts",-2000000000000000+ROW(),""),IF(AND(Review!$B$5="Needs review",$R216="Meets your target"),"",IF($R216="No fee entered",-1000000000000000+ROW(),$N216/$B216+ROW()/1000000000)))))</f>
        <v/>
      </c>
    </row>
    <row r="217" customFormat="false" ht="15" hidden="false" customHeight="false" outlineLevel="0" collapsed="false">
      <c r="A217" s="14"/>
      <c r="B217" s="15"/>
      <c r="C217" s="16"/>
      <c r="D217" s="14"/>
      <c r="E217" s="14"/>
      <c r="F217" s="14"/>
      <c r="G217" s="15"/>
      <c r="H217" s="15"/>
      <c r="I217" s="17" t="str">
        <f aca="false">IF(OR(AND($A217="",$B217="",$C217="",$D217="",$E217="",$F217="",$G217="",$H217=""),NOT($S217="")),"",ROUND($C217*($D217+$E217)/60,4))</f>
        <v/>
      </c>
      <c r="J217" s="18" t="str">
        <f aca="false">IF(OR(AND($A217="",$B217="",$C217="",$D217="",$E217="",$F217="",$G217="",$H217=""),NOT($S217="")),"",ROUND(ROUND($C217*($D217+$E217)/60*$B$5,9),2))</f>
        <v/>
      </c>
      <c r="K217" s="18" t="str">
        <f aca="false">IF(OR(AND($A217="",$B217="",$C217="",$D217="",$E217="",$F217="",$G217="",$H217=""),NOT($S217="")),"",ROUND(ROUND($C217*$F217*$B$6,9),2))</f>
        <v/>
      </c>
      <c r="L217" s="18" t="str">
        <f aca="false">IF(OR(AND($A217="",$B217="",$C217="",$D217="",$E217="",$F217="",$G217="",$H217=""),NOT($S217="")),"",ROUND(ROUND($C217*$G217,9),2))</f>
        <v/>
      </c>
      <c r="M217" s="19" t="str">
        <f aca="false">IF(OR(AND($A217="",$B217="",$C217="",$D217="",$E217="",$F217="",$G217="",$H217=""),NOT($S217="")),"",ROUND($J217+$K217+$L217+$H217,2))</f>
        <v/>
      </c>
      <c r="N217" s="19" t="str">
        <f aca="false">IF(OR(AND($A217="",$B217="",$C217="",$D217="",$E217="",$F217="",$G217="",$H217=""),NOT($S217="")),"",ROUND($B217-$M217,2))</f>
        <v/>
      </c>
      <c r="O217" s="20" t="str">
        <f aca="false">IF(OR(AND($A217="",$B217="",$C217="",$D217="",$E217="",$F217="",$G217="",$H217=""),NOT($S217="")),"",IF($B217=0,"n/a",INT(ROUND($N217/$B217*10000,6))/10000))</f>
        <v/>
      </c>
      <c r="P217" s="18" t="str">
        <f aca="false">IF(OR(AND($A217="",$B217="",$C217="",$D217="",$E217="",$F217="",$G217="",$H217=""),NOT($S217="")),"",ROUNDUP(ROUND($M217*10000/(10000-TargetH),9),2))</f>
        <v/>
      </c>
      <c r="Q217" s="18" t="str">
        <f aca="false">IF(OR(AND($A217="",$B217="",$C217="",$D217="",$E217="",$F217="",$G217="",$H217=""),NOT($S217="")),"",MAX(0,ROUND($P217-$B217,2)))</f>
        <v/>
      </c>
      <c r="R217" s="21" t="str">
        <f aca="false">IF(AND($A217="",$B217="",$C217="",$D217="",$E217="",$F217="",$G217="",$H217=""),"",IF(NOT($S217=""),"Check inputs",IF($B217=0,"No fee entered",IF($N217&lt;0,"Losing money on entered costs",IF(ROUND($N217*100,0)*10000&lt;TargetH*ROUND($B217*100,0),"Below your target","Meets your target")))))</f>
        <v/>
      </c>
      <c r="S217" s="22" t="str">
        <f aca="false">IF(AND($A217="",$B217="",$C217="",$D217="",$E217="",$F217="",$G217="",$H217=""),"",TRIM(IF($A217="","Customer/site label is missing. ","")&amp;IF($B217="","Monthly fee is missing. ",IF(NOT(ISNUMBER($B217)),"Monthly fee must be a number. ",IF($B217&lt;0,"Monthly fee can't be negative. ",IF(ROUND($B217,2)&lt;&gt;$B217,"Monthly fee: use up to 2 decimal places. ",IF($B217&gt;99999.99,"Monthly fee: use 99,999.99 or less. ","")))))&amp;IF($C217="","Visits per month is missing. ",IF(NOT(ISNUMBER($C217)),"Visits per month must be a number. ",IF($C217&lt;0,"Visits per month can't be negative. ",IF(ROUND($C217,3)&lt;&gt;$C217,"Visits per month: use up to 3 decimal places. ",IF($C217=0,"Visits per month must be more than 0. ",IF($C217&gt;31,"Visits per month: use 31 or less. ",""))))))&amp;IF($D217="","Service minutes per visit is missing. ",IF(NOT(ISNUMBER($D217)),"Service minutes per visit must be a number. ",IF($D217&lt;0,"Service minutes per visit can't be negative. ",IF(ROUND($D217,2)&lt;&gt;$D217,"Service minutes per visit: use up to 2 decimal places. ",IF($D217=0,"Service minutes per visit must be more than 0. ",IF($D217&gt;600,"Service minutes per visit: use 600 or less. ",""))))))&amp;IF($E217="","Drive minutes per visit is missing. ",IF(NOT(ISNUMBER($E217)),"Drive minutes per visit must be a number. ",IF($E217&lt;0,"Drive minutes per visit can't be negative. ",IF(ROUND($E217,2)&lt;&gt;$E217,"Drive minutes per visit: use up to 2 decimal places. ",IF($E217&gt;600,"Drive minutes per visit: use 600 or less. ","")))))&amp;IF($F217="","Drive miles per visit is missing. ",IF(NOT(ISNUMBER($F217)),"Drive miles per visit must be a number. ",IF($F217&lt;0,"Drive miles per visit can't be negative. ",IF(ROUND($F217,2)&lt;&gt;$F217,"Drive miles per visit: use up to 2 decimal places. ",IF($F217&gt;1000,"Drive miles per visit: use 1,000 or less. ","")))))&amp;IF($G217="","Chemicals per visit is missing. ",IF(NOT(ISNUMBER($G217)),"Chemicals per visit must be a number. ",IF($G217&lt;0,"Chemicals per visit can't be negative. ",IF(ROUND($G217,2)&lt;&gt;$G217,"Chemicals per visit: use up to 2 decimal places. ",IF($G217&gt;9999.99,"Chemicals per visit: use 9,999.99 or less. ","")))))&amp;IF($H217="","Other monthly costs is missing. ",IF(NOT(ISNUMBER($H217)),"Other monthly costs must be a number. ",IF($H217&lt;0,"Other monthly costs can't be negative. ",IF(ROUND($H217,2)&lt;&gt;$H217,"Other monthly costs: use up to 2 decimal places. ",IF($H217&gt;99999.99,"Other monthly costs: use 99,999.99 or less. ","")))))&amp;IF(SettingsOK,"","Settings incomplete.")))</f>
        <v/>
      </c>
      <c r="T217" s="23" t="str">
        <f aca="false">IF(AND($A217="",$B217="",$C217="",$D217="",$E217="",$F217="",$G217="",$H217=""),"",IF(Review!$B$5="Check inputs",IF($R217="Check inputs",ROW(),""),IF($R217="Check inputs",IF(Review!$B$5="All accounts",-2000000000000000+ROW(),""),IF(AND(Review!$B$5="Needs review",$R217="Meets your target"),"",IF($R217="No fee entered",-1000000000000000+ROW(),$N217/$B217+ROW()/1000000000)))))</f>
        <v/>
      </c>
    </row>
    <row r="218" customFormat="false" ht="15" hidden="false" customHeight="false" outlineLevel="0" collapsed="false">
      <c r="A218" s="14"/>
      <c r="B218" s="15"/>
      <c r="C218" s="16"/>
      <c r="D218" s="14"/>
      <c r="E218" s="14"/>
      <c r="F218" s="14"/>
      <c r="G218" s="15"/>
      <c r="H218" s="15"/>
      <c r="I218" s="17" t="str">
        <f aca="false">IF(OR(AND($A218="",$B218="",$C218="",$D218="",$E218="",$F218="",$G218="",$H218=""),NOT($S218="")),"",ROUND($C218*($D218+$E218)/60,4))</f>
        <v/>
      </c>
      <c r="J218" s="18" t="str">
        <f aca="false">IF(OR(AND($A218="",$B218="",$C218="",$D218="",$E218="",$F218="",$G218="",$H218=""),NOT($S218="")),"",ROUND(ROUND($C218*($D218+$E218)/60*$B$5,9),2))</f>
        <v/>
      </c>
      <c r="K218" s="18" t="str">
        <f aca="false">IF(OR(AND($A218="",$B218="",$C218="",$D218="",$E218="",$F218="",$G218="",$H218=""),NOT($S218="")),"",ROUND(ROUND($C218*$F218*$B$6,9),2))</f>
        <v/>
      </c>
      <c r="L218" s="18" t="str">
        <f aca="false">IF(OR(AND($A218="",$B218="",$C218="",$D218="",$E218="",$F218="",$G218="",$H218=""),NOT($S218="")),"",ROUND(ROUND($C218*$G218,9),2))</f>
        <v/>
      </c>
      <c r="M218" s="19" t="str">
        <f aca="false">IF(OR(AND($A218="",$B218="",$C218="",$D218="",$E218="",$F218="",$G218="",$H218=""),NOT($S218="")),"",ROUND($J218+$K218+$L218+$H218,2))</f>
        <v/>
      </c>
      <c r="N218" s="19" t="str">
        <f aca="false">IF(OR(AND($A218="",$B218="",$C218="",$D218="",$E218="",$F218="",$G218="",$H218=""),NOT($S218="")),"",ROUND($B218-$M218,2))</f>
        <v/>
      </c>
      <c r="O218" s="20" t="str">
        <f aca="false">IF(OR(AND($A218="",$B218="",$C218="",$D218="",$E218="",$F218="",$G218="",$H218=""),NOT($S218="")),"",IF($B218=0,"n/a",INT(ROUND($N218/$B218*10000,6))/10000))</f>
        <v/>
      </c>
      <c r="P218" s="18" t="str">
        <f aca="false">IF(OR(AND($A218="",$B218="",$C218="",$D218="",$E218="",$F218="",$G218="",$H218=""),NOT($S218="")),"",ROUNDUP(ROUND($M218*10000/(10000-TargetH),9),2))</f>
        <v/>
      </c>
      <c r="Q218" s="18" t="str">
        <f aca="false">IF(OR(AND($A218="",$B218="",$C218="",$D218="",$E218="",$F218="",$G218="",$H218=""),NOT($S218="")),"",MAX(0,ROUND($P218-$B218,2)))</f>
        <v/>
      </c>
      <c r="R218" s="21" t="str">
        <f aca="false">IF(AND($A218="",$B218="",$C218="",$D218="",$E218="",$F218="",$G218="",$H218=""),"",IF(NOT($S218=""),"Check inputs",IF($B218=0,"No fee entered",IF($N218&lt;0,"Losing money on entered costs",IF(ROUND($N218*100,0)*10000&lt;TargetH*ROUND($B218*100,0),"Below your target","Meets your target")))))</f>
        <v/>
      </c>
      <c r="S218" s="22" t="str">
        <f aca="false">IF(AND($A218="",$B218="",$C218="",$D218="",$E218="",$F218="",$G218="",$H218=""),"",TRIM(IF($A218="","Customer/site label is missing. ","")&amp;IF($B218="","Monthly fee is missing. ",IF(NOT(ISNUMBER($B218)),"Monthly fee must be a number. ",IF($B218&lt;0,"Monthly fee can't be negative. ",IF(ROUND($B218,2)&lt;&gt;$B218,"Monthly fee: use up to 2 decimal places. ",IF($B218&gt;99999.99,"Monthly fee: use 99,999.99 or less. ","")))))&amp;IF($C218="","Visits per month is missing. ",IF(NOT(ISNUMBER($C218)),"Visits per month must be a number. ",IF($C218&lt;0,"Visits per month can't be negative. ",IF(ROUND($C218,3)&lt;&gt;$C218,"Visits per month: use up to 3 decimal places. ",IF($C218=0,"Visits per month must be more than 0. ",IF($C218&gt;31,"Visits per month: use 31 or less. ",""))))))&amp;IF($D218="","Service minutes per visit is missing. ",IF(NOT(ISNUMBER($D218)),"Service minutes per visit must be a number. ",IF($D218&lt;0,"Service minutes per visit can't be negative. ",IF(ROUND($D218,2)&lt;&gt;$D218,"Service minutes per visit: use up to 2 decimal places. ",IF($D218=0,"Service minutes per visit must be more than 0. ",IF($D218&gt;600,"Service minutes per visit: use 600 or less. ",""))))))&amp;IF($E218="","Drive minutes per visit is missing. ",IF(NOT(ISNUMBER($E218)),"Drive minutes per visit must be a number. ",IF($E218&lt;0,"Drive minutes per visit can't be negative. ",IF(ROUND($E218,2)&lt;&gt;$E218,"Drive minutes per visit: use up to 2 decimal places. ",IF($E218&gt;600,"Drive minutes per visit: use 600 or less. ","")))))&amp;IF($F218="","Drive miles per visit is missing. ",IF(NOT(ISNUMBER($F218)),"Drive miles per visit must be a number. ",IF($F218&lt;0,"Drive miles per visit can't be negative. ",IF(ROUND($F218,2)&lt;&gt;$F218,"Drive miles per visit: use up to 2 decimal places. ",IF($F218&gt;1000,"Drive miles per visit: use 1,000 or less. ","")))))&amp;IF($G218="","Chemicals per visit is missing. ",IF(NOT(ISNUMBER($G218)),"Chemicals per visit must be a number. ",IF($G218&lt;0,"Chemicals per visit can't be negative. ",IF(ROUND($G218,2)&lt;&gt;$G218,"Chemicals per visit: use up to 2 decimal places. ",IF($G218&gt;9999.99,"Chemicals per visit: use 9,999.99 or less. ","")))))&amp;IF($H218="","Other monthly costs is missing. ",IF(NOT(ISNUMBER($H218)),"Other monthly costs must be a number. ",IF($H218&lt;0,"Other monthly costs can't be negative. ",IF(ROUND($H218,2)&lt;&gt;$H218,"Other monthly costs: use up to 2 decimal places. ",IF($H218&gt;99999.99,"Other monthly costs: use 99,999.99 or less. ","")))))&amp;IF(SettingsOK,"","Settings incomplete.")))</f>
        <v/>
      </c>
      <c r="T218" s="23" t="str">
        <f aca="false">IF(AND($A218="",$B218="",$C218="",$D218="",$E218="",$F218="",$G218="",$H218=""),"",IF(Review!$B$5="Check inputs",IF($R218="Check inputs",ROW(),""),IF($R218="Check inputs",IF(Review!$B$5="All accounts",-2000000000000000+ROW(),""),IF(AND(Review!$B$5="Needs review",$R218="Meets your target"),"",IF($R218="No fee entered",-1000000000000000+ROW(),$N218/$B218+ROW()/1000000000)))))</f>
        <v/>
      </c>
    </row>
    <row r="219" customFormat="false" ht="15" hidden="false" customHeight="false" outlineLevel="0" collapsed="false">
      <c r="A219" s="14"/>
      <c r="B219" s="15"/>
      <c r="C219" s="16"/>
      <c r="D219" s="14"/>
      <c r="E219" s="14"/>
      <c r="F219" s="14"/>
      <c r="G219" s="15"/>
      <c r="H219" s="15"/>
      <c r="I219" s="17" t="str">
        <f aca="false">IF(OR(AND($A219="",$B219="",$C219="",$D219="",$E219="",$F219="",$G219="",$H219=""),NOT($S219="")),"",ROUND($C219*($D219+$E219)/60,4))</f>
        <v/>
      </c>
      <c r="J219" s="18" t="str">
        <f aca="false">IF(OR(AND($A219="",$B219="",$C219="",$D219="",$E219="",$F219="",$G219="",$H219=""),NOT($S219="")),"",ROUND(ROUND($C219*($D219+$E219)/60*$B$5,9),2))</f>
        <v/>
      </c>
      <c r="K219" s="18" t="str">
        <f aca="false">IF(OR(AND($A219="",$B219="",$C219="",$D219="",$E219="",$F219="",$G219="",$H219=""),NOT($S219="")),"",ROUND(ROUND($C219*$F219*$B$6,9),2))</f>
        <v/>
      </c>
      <c r="L219" s="18" t="str">
        <f aca="false">IF(OR(AND($A219="",$B219="",$C219="",$D219="",$E219="",$F219="",$G219="",$H219=""),NOT($S219="")),"",ROUND(ROUND($C219*$G219,9),2))</f>
        <v/>
      </c>
      <c r="M219" s="19" t="str">
        <f aca="false">IF(OR(AND($A219="",$B219="",$C219="",$D219="",$E219="",$F219="",$G219="",$H219=""),NOT($S219="")),"",ROUND($J219+$K219+$L219+$H219,2))</f>
        <v/>
      </c>
      <c r="N219" s="19" t="str">
        <f aca="false">IF(OR(AND($A219="",$B219="",$C219="",$D219="",$E219="",$F219="",$G219="",$H219=""),NOT($S219="")),"",ROUND($B219-$M219,2))</f>
        <v/>
      </c>
      <c r="O219" s="20" t="str">
        <f aca="false">IF(OR(AND($A219="",$B219="",$C219="",$D219="",$E219="",$F219="",$G219="",$H219=""),NOT($S219="")),"",IF($B219=0,"n/a",INT(ROUND($N219/$B219*10000,6))/10000))</f>
        <v/>
      </c>
      <c r="P219" s="18" t="str">
        <f aca="false">IF(OR(AND($A219="",$B219="",$C219="",$D219="",$E219="",$F219="",$G219="",$H219=""),NOT($S219="")),"",ROUNDUP(ROUND($M219*10000/(10000-TargetH),9),2))</f>
        <v/>
      </c>
      <c r="Q219" s="18" t="str">
        <f aca="false">IF(OR(AND($A219="",$B219="",$C219="",$D219="",$E219="",$F219="",$G219="",$H219=""),NOT($S219="")),"",MAX(0,ROUND($P219-$B219,2)))</f>
        <v/>
      </c>
      <c r="R219" s="21" t="str">
        <f aca="false">IF(AND($A219="",$B219="",$C219="",$D219="",$E219="",$F219="",$G219="",$H219=""),"",IF(NOT($S219=""),"Check inputs",IF($B219=0,"No fee entered",IF($N219&lt;0,"Losing money on entered costs",IF(ROUND($N219*100,0)*10000&lt;TargetH*ROUND($B219*100,0),"Below your target","Meets your target")))))</f>
        <v/>
      </c>
      <c r="S219" s="22" t="str">
        <f aca="false">IF(AND($A219="",$B219="",$C219="",$D219="",$E219="",$F219="",$G219="",$H219=""),"",TRIM(IF($A219="","Customer/site label is missing. ","")&amp;IF($B219="","Monthly fee is missing. ",IF(NOT(ISNUMBER($B219)),"Monthly fee must be a number. ",IF($B219&lt;0,"Monthly fee can't be negative. ",IF(ROUND($B219,2)&lt;&gt;$B219,"Monthly fee: use up to 2 decimal places. ",IF($B219&gt;99999.99,"Monthly fee: use 99,999.99 or less. ","")))))&amp;IF($C219="","Visits per month is missing. ",IF(NOT(ISNUMBER($C219)),"Visits per month must be a number. ",IF($C219&lt;0,"Visits per month can't be negative. ",IF(ROUND($C219,3)&lt;&gt;$C219,"Visits per month: use up to 3 decimal places. ",IF($C219=0,"Visits per month must be more than 0. ",IF($C219&gt;31,"Visits per month: use 31 or less. ",""))))))&amp;IF($D219="","Service minutes per visit is missing. ",IF(NOT(ISNUMBER($D219)),"Service minutes per visit must be a number. ",IF($D219&lt;0,"Service minutes per visit can't be negative. ",IF(ROUND($D219,2)&lt;&gt;$D219,"Service minutes per visit: use up to 2 decimal places. ",IF($D219=0,"Service minutes per visit must be more than 0. ",IF($D219&gt;600,"Service minutes per visit: use 600 or less. ",""))))))&amp;IF($E219="","Drive minutes per visit is missing. ",IF(NOT(ISNUMBER($E219)),"Drive minutes per visit must be a number. ",IF($E219&lt;0,"Drive minutes per visit can't be negative. ",IF(ROUND($E219,2)&lt;&gt;$E219,"Drive minutes per visit: use up to 2 decimal places. ",IF($E219&gt;600,"Drive minutes per visit: use 600 or less. ","")))))&amp;IF($F219="","Drive miles per visit is missing. ",IF(NOT(ISNUMBER($F219)),"Drive miles per visit must be a number. ",IF($F219&lt;0,"Drive miles per visit can't be negative. ",IF(ROUND($F219,2)&lt;&gt;$F219,"Drive miles per visit: use up to 2 decimal places. ",IF($F219&gt;1000,"Drive miles per visit: use 1,000 or less. ","")))))&amp;IF($G219="","Chemicals per visit is missing. ",IF(NOT(ISNUMBER($G219)),"Chemicals per visit must be a number. ",IF($G219&lt;0,"Chemicals per visit can't be negative. ",IF(ROUND($G219,2)&lt;&gt;$G219,"Chemicals per visit: use up to 2 decimal places. ",IF($G219&gt;9999.99,"Chemicals per visit: use 9,999.99 or less. ","")))))&amp;IF($H219="","Other monthly costs is missing. ",IF(NOT(ISNUMBER($H219)),"Other monthly costs must be a number. ",IF($H219&lt;0,"Other monthly costs can't be negative. ",IF(ROUND($H219,2)&lt;&gt;$H219,"Other monthly costs: use up to 2 decimal places. ",IF($H219&gt;99999.99,"Other monthly costs: use 99,999.99 or less. ","")))))&amp;IF(SettingsOK,"","Settings incomplete.")))</f>
        <v/>
      </c>
      <c r="T219" s="23" t="str">
        <f aca="false">IF(AND($A219="",$B219="",$C219="",$D219="",$E219="",$F219="",$G219="",$H219=""),"",IF(Review!$B$5="Check inputs",IF($R219="Check inputs",ROW(),""),IF($R219="Check inputs",IF(Review!$B$5="All accounts",-2000000000000000+ROW(),""),IF(AND(Review!$B$5="Needs review",$R219="Meets your target"),"",IF($R219="No fee entered",-1000000000000000+ROW(),$N219/$B219+ROW()/1000000000)))))</f>
        <v/>
      </c>
    </row>
    <row r="220" customFormat="false" ht="15" hidden="false" customHeight="false" outlineLevel="0" collapsed="false">
      <c r="A220" s="14"/>
      <c r="B220" s="15"/>
      <c r="C220" s="16"/>
      <c r="D220" s="14"/>
      <c r="E220" s="14"/>
      <c r="F220" s="14"/>
      <c r="G220" s="15"/>
      <c r="H220" s="15"/>
      <c r="I220" s="17" t="str">
        <f aca="false">IF(OR(AND($A220="",$B220="",$C220="",$D220="",$E220="",$F220="",$G220="",$H220=""),NOT($S220="")),"",ROUND($C220*($D220+$E220)/60,4))</f>
        <v/>
      </c>
      <c r="J220" s="18" t="str">
        <f aca="false">IF(OR(AND($A220="",$B220="",$C220="",$D220="",$E220="",$F220="",$G220="",$H220=""),NOT($S220="")),"",ROUND(ROUND($C220*($D220+$E220)/60*$B$5,9),2))</f>
        <v/>
      </c>
      <c r="K220" s="18" t="str">
        <f aca="false">IF(OR(AND($A220="",$B220="",$C220="",$D220="",$E220="",$F220="",$G220="",$H220=""),NOT($S220="")),"",ROUND(ROUND($C220*$F220*$B$6,9),2))</f>
        <v/>
      </c>
      <c r="L220" s="18" t="str">
        <f aca="false">IF(OR(AND($A220="",$B220="",$C220="",$D220="",$E220="",$F220="",$G220="",$H220=""),NOT($S220="")),"",ROUND(ROUND($C220*$G220,9),2))</f>
        <v/>
      </c>
      <c r="M220" s="19" t="str">
        <f aca="false">IF(OR(AND($A220="",$B220="",$C220="",$D220="",$E220="",$F220="",$G220="",$H220=""),NOT($S220="")),"",ROUND($J220+$K220+$L220+$H220,2))</f>
        <v/>
      </c>
      <c r="N220" s="19" t="str">
        <f aca="false">IF(OR(AND($A220="",$B220="",$C220="",$D220="",$E220="",$F220="",$G220="",$H220=""),NOT($S220="")),"",ROUND($B220-$M220,2))</f>
        <v/>
      </c>
      <c r="O220" s="20" t="str">
        <f aca="false">IF(OR(AND($A220="",$B220="",$C220="",$D220="",$E220="",$F220="",$G220="",$H220=""),NOT($S220="")),"",IF($B220=0,"n/a",INT(ROUND($N220/$B220*10000,6))/10000))</f>
        <v/>
      </c>
      <c r="P220" s="18" t="str">
        <f aca="false">IF(OR(AND($A220="",$B220="",$C220="",$D220="",$E220="",$F220="",$G220="",$H220=""),NOT($S220="")),"",ROUNDUP(ROUND($M220*10000/(10000-TargetH),9),2))</f>
        <v/>
      </c>
      <c r="Q220" s="18" t="str">
        <f aca="false">IF(OR(AND($A220="",$B220="",$C220="",$D220="",$E220="",$F220="",$G220="",$H220=""),NOT($S220="")),"",MAX(0,ROUND($P220-$B220,2)))</f>
        <v/>
      </c>
      <c r="R220" s="21" t="str">
        <f aca="false">IF(AND($A220="",$B220="",$C220="",$D220="",$E220="",$F220="",$G220="",$H220=""),"",IF(NOT($S220=""),"Check inputs",IF($B220=0,"No fee entered",IF($N220&lt;0,"Losing money on entered costs",IF(ROUND($N220*100,0)*10000&lt;TargetH*ROUND($B220*100,0),"Below your target","Meets your target")))))</f>
        <v/>
      </c>
      <c r="S220" s="22" t="str">
        <f aca="false">IF(AND($A220="",$B220="",$C220="",$D220="",$E220="",$F220="",$G220="",$H220=""),"",TRIM(IF($A220="","Customer/site label is missing. ","")&amp;IF($B220="","Monthly fee is missing. ",IF(NOT(ISNUMBER($B220)),"Monthly fee must be a number. ",IF($B220&lt;0,"Monthly fee can't be negative. ",IF(ROUND($B220,2)&lt;&gt;$B220,"Monthly fee: use up to 2 decimal places. ",IF($B220&gt;99999.99,"Monthly fee: use 99,999.99 or less. ","")))))&amp;IF($C220="","Visits per month is missing. ",IF(NOT(ISNUMBER($C220)),"Visits per month must be a number. ",IF($C220&lt;0,"Visits per month can't be negative. ",IF(ROUND($C220,3)&lt;&gt;$C220,"Visits per month: use up to 3 decimal places. ",IF($C220=0,"Visits per month must be more than 0. ",IF($C220&gt;31,"Visits per month: use 31 or less. ",""))))))&amp;IF($D220="","Service minutes per visit is missing. ",IF(NOT(ISNUMBER($D220)),"Service minutes per visit must be a number. ",IF($D220&lt;0,"Service minutes per visit can't be negative. ",IF(ROUND($D220,2)&lt;&gt;$D220,"Service minutes per visit: use up to 2 decimal places. ",IF($D220=0,"Service minutes per visit must be more than 0. ",IF($D220&gt;600,"Service minutes per visit: use 600 or less. ",""))))))&amp;IF($E220="","Drive minutes per visit is missing. ",IF(NOT(ISNUMBER($E220)),"Drive minutes per visit must be a number. ",IF($E220&lt;0,"Drive minutes per visit can't be negative. ",IF(ROUND($E220,2)&lt;&gt;$E220,"Drive minutes per visit: use up to 2 decimal places. ",IF($E220&gt;600,"Drive minutes per visit: use 600 or less. ","")))))&amp;IF($F220="","Drive miles per visit is missing. ",IF(NOT(ISNUMBER($F220)),"Drive miles per visit must be a number. ",IF($F220&lt;0,"Drive miles per visit can't be negative. ",IF(ROUND($F220,2)&lt;&gt;$F220,"Drive miles per visit: use up to 2 decimal places. ",IF($F220&gt;1000,"Drive miles per visit: use 1,000 or less. ","")))))&amp;IF($G220="","Chemicals per visit is missing. ",IF(NOT(ISNUMBER($G220)),"Chemicals per visit must be a number. ",IF($G220&lt;0,"Chemicals per visit can't be negative. ",IF(ROUND($G220,2)&lt;&gt;$G220,"Chemicals per visit: use up to 2 decimal places. ",IF($G220&gt;9999.99,"Chemicals per visit: use 9,999.99 or less. ","")))))&amp;IF($H220="","Other monthly costs is missing. ",IF(NOT(ISNUMBER($H220)),"Other monthly costs must be a number. ",IF($H220&lt;0,"Other monthly costs can't be negative. ",IF(ROUND($H220,2)&lt;&gt;$H220,"Other monthly costs: use up to 2 decimal places. ",IF($H220&gt;99999.99,"Other monthly costs: use 99,999.99 or less. ","")))))&amp;IF(SettingsOK,"","Settings incomplete.")))</f>
        <v/>
      </c>
      <c r="T220" s="23" t="str">
        <f aca="false">IF(AND($A220="",$B220="",$C220="",$D220="",$E220="",$F220="",$G220="",$H220=""),"",IF(Review!$B$5="Check inputs",IF($R220="Check inputs",ROW(),""),IF($R220="Check inputs",IF(Review!$B$5="All accounts",-2000000000000000+ROW(),""),IF(AND(Review!$B$5="Needs review",$R220="Meets your target"),"",IF($R220="No fee entered",-1000000000000000+ROW(),$N220/$B220+ROW()/1000000000)))))</f>
        <v/>
      </c>
    </row>
    <row r="221" customFormat="false" ht="15" hidden="false" customHeight="false" outlineLevel="0" collapsed="false">
      <c r="A221" s="14"/>
      <c r="B221" s="15"/>
      <c r="C221" s="16"/>
      <c r="D221" s="14"/>
      <c r="E221" s="14"/>
      <c r="F221" s="14"/>
      <c r="G221" s="15"/>
      <c r="H221" s="15"/>
      <c r="I221" s="17" t="str">
        <f aca="false">IF(OR(AND($A221="",$B221="",$C221="",$D221="",$E221="",$F221="",$G221="",$H221=""),NOT($S221="")),"",ROUND($C221*($D221+$E221)/60,4))</f>
        <v/>
      </c>
      <c r="J221" s="18" t="str">
        <f aca="false">IF(OR(AND($A221="",$B221="",$C221="",$D221="",$E221="",$F221="",$G221="",$H221=""),NOT($S221="")),"",ROUND(ROUND($C221*($D221+$E221)/60*$B$5,9),2))</f>
        <v/>
      </c>
      <c r="K221" s="18" t="str">
        <f aca="false">IF(OR(AND($A221="",$B221="",$C221="",$D221="",$E221="",$F221="",$G221="",$H221=""),NOT($S221="")),"",ROUND(ROUND($C221*$F221*$B$6,9),2))</f>
        <v/>
      </c>
      <c r="L221" s="18" t="str">
        <f aca="false">IF(OR(AND($A221="",$B221="",$C221="",$D221="",$E221="",$F221="",$G221="",$H221=""),NOT($S221="")),"",ROUND(ROUND($C221*$G221,9),2))</f>
        <v/>
      </c>
      <c r="M221" s="19" t="str">
        <f aca="false">IF(OR(AND($A221="",$B221="",$C221="",$D221="",$E221="",$F221="",$G221="",$H221=""),NOT($S221="")),"",ROUND($J221+$K221+$L221+$H221,2))</f>
        <v/>
      </c>
      <c r="N221" s="19" t="str">
        <f aca="false">IF(OR(AND($A221="",$B221="",$C221="",$D221="",$E221="",$F221="",$G221="",$H221=""),NOT($S221="")),"",ROUND($B221-$M221,2))</f>
        <v/>
      </c>
      <c r="O221" s="20" t="str">
        <f aca="false">IF(OR(AND($A221="",$B221="",$C221="",$D221="",$E221="",$F221="",$G221="",$H221=""),NOT($S221="")),"",IF($B221=0,"n/a",INT(ROUND($N221/$B221*10000,6))/10000))</f>
        <v/>
      </c>
      <c r="P221" s="18" t="str">
        <f aca="false">IF(OR(AND($A221="",$B221="",$C221="",$D221="",$E221="",$F221="",$G221="",$H221=""),NOT($S221="")),"",ROUNDUP(ROUND($M221*10000/(10000-TargetH),9),2))</f>
        <v/>
      </c>
      <c r="Q221" s="18" t="str">
        <f aca="false">IF(OR(AND($A221="",$B221="",$C221="",$D221="",$E221="",$F221="",$G221="",$H221=""),NOT($S221="")),"",MAX(0,ROUND($P221-$B221,2)))</f>
        <v/>
      </c>
      <c r="R221" s="21" t="str">
        <f aca="false">IF(AND($A221="",$B221="",$C221="",$D221="",$E221="",$F221="",$G221="",$H221=""),"",IF(NOT($S221=""),"Check inputs",IF($B221=0,"No fee entered",IF($N221&lt;0,"Losing money on entered costs",IF(ROUND($N221*100,0)*10000&lt;TargetH*ROUND($B221*100,0),"Below your target","Meets your target")))))</f>
        <v/>
      </c>
      <c r="S221" s="22" t="str">
        <f aca="false">IF(AND($A221="",$B221="",$C221="",$D221="",$E221="",$F221="",$G221="",$H221=""),"",TRIM(IF($A221="","Customer/site label is missing. ","")&amp;IF($B221="","Monthly fee is missing. ",IF(NOT(ISNUMBER($B221)),"Monthly fee must be a number. ",IF($B221&lt;0,"Monthly fee can't be negative. ",IF(ROUND($B221,2)&lt;&gt;$B221,"Monthly fee: use up to 2 decimal places. ",IF($B221&gt;99999.99,"Monthly fee: use 99,999.99 or less. ","")))))&amp;IF($C221="","Visits per month is missing. ",IF(NOT(ISNUMBER($C221)),"Visits per month must be a number. ",IF($C221&lt;0,"Visits per month can't be negative. ",IF(ROUND($C221,3)&lt;&gt;$C221,"Visits per month: use up to 3 decimal places. ",IF($C221=0,"Visits per month must be more than 0. ",IF($C221&gt;31,"Visits per month: use 31 or less. ",""))))))&amp;IF($D221="","Service minutes per visit is missing. ",IF(NOT(ISNUMBER($D221)),"Service minutes per visit must be a number. ",IF($D221&lt;0,"Service minutes per visit can't be negative. ",IF(ROUND($D221,2)&lt;&gt;$D221,"Service minutes per visit: use up to 2 decimal places. ",IF($D221=0,"Service minutes per visit must be more than 0. ",IF($D221&gt;600,"Service minutes per visit: use 600 or less. ",""))))))&amp;IF($E221="","Drive minutes per visit is missing. ",IF(NOT(ISNUMBER($E221)),"Drive minutes per visit must be a number. ",IF($E221&lt;0,"Drive minutes per visit can't be negative. ",IF(ROUND($E221,2)&lt;&gt;$E221,"Drive minutes per visit: use up to 2 decimal places. ",IF($E221&gt;600,"Drive minutes per visit: use 600 or less. ","")))))&amp;IF($F221="","Drive miles per visit is missing. ",IF(NOT(ISNUMBER($F221)),"Drive miles per visit must be a number. ",IF($F221&lt;0,"Drive miles per visit can't be negative. ",IF(ROUND($F221,2)&lt;&gt;$F221,"Drive miles per visit: use up to 2 decimal places. ",IF($F221&gt;1000,"Drive miles per visit: use 1,000 or less. ","")))))&amp;IF($G221="","Chemicals per visit is missing. ",IF(NOT(ISNUMBER($G221)),"Chemicals per visit must be a number. ",IF($G221&lt;0,"Chemicals per visit can't be negative. ",IF(ROUND($G221,2)&lt;&gt;$G221,"Chemicals per visit: use up to 2 decimal places. ",IF($G221&gt;9999.99,"Chemicals per visit: use 9,999.99 or less. ","")))))&amp;IF($H221="","Other monthly costs is missing. ",IF(NOT(ISNUMBER($H221)),"Other monthly costs must be a number. ",IF($H221&lt;0,"Other monthly costs can't be negative. ",IF(ROUND($H221,2)&lt;&gt;$H221,"Other monthly costs: use up to 2 decimal places. ",IF($H221&gt;99999.99,"Other monthly costs: use 99,999.99 or less. ","")))))&amp;IF(SettingsOK,"","Settings incomplete.")))</f>
        <v/>
      </c>
      <c r="T221" s="23" t="str">
        <f aca="false">IF(AND($A221="",$B221="",$C221="",$D221="",$E221="",$F221="",$G221="",$H221=""),"",IF(Review!$B$5="Check inputs",IF($R221="Check inputs",ROW(),""),IF($R221="Check inputs",IF(Review!$B$5="All accounts",-2000000000000000+ROW(),""),IF(AND(Review!$B$5="Needs review",$R221="Meets your target"),"",IF($R221="No fee entered",-1000000000000000+ROW(),$N221/$B221+ROW()/1000000000)))))</f>
        <v/>
      </c>
    </row>
    <row r="222" customFormat="false" ht="15" hidden="false" customHeight="false" outlineLevel="0" collapsed="false">
      <c r="A222" s="14"/>
      <c r="B222" s="15"/>
      <c r="C222" s="16"/>
      <c r="D222" s="14"/>
      <c r="E222" s="14"/>
      <c r="F222" s="14"/>
      <c r="G222" s="15"/>
      <c r="H222" s="15"/>
      <c r="I222" s="17" t="str">
        <f aca="false">IF(OR(AND($A222="",$B222="",$C222="",$D222="",$E222="",$F222="",$G222="",$H222=""),NOT($S222="")),"",ROUND($C222*($D222+$E222)/60,4))</f>
        <v/>
      </c>
      <c r="J222" s="18" t="str">
        <f aca="false">IF(OR(AND($A222="",$B222="",$C222="",$D222="",$E222="",$F222="",$G222="",$H222=""),NOT($S222="")),"",ROUND(ROUND($C222*($D222+$E222)/60*$B$5,9),2))</f>
        <v/>
      </c>
      <c r="K222" s="18" t="str">
        <f aca="false">IF(OR(AND($A222="",$B222="",$C222="",$D222="",$E222="",$F222="",$G222="",$H222=""),NOT($S222="")),"",ROUND(ROUND($C222*$F222*$B$6,9),2))</f>
        <v/>
      </c>
      <c r="L222" s="18" t="str">
        <f aca="false">IF(OR(AND($A222="",$B222="",$C222="",$D222="",$E222="",$F222="",$G222="",$H222=""),NOT($S222="")),"",ROUND(ROUND($C222*$G222,9),2))</f>
        <v/>
      </c>
      <c r="M222" s="19" t="str">
        <f aca="false">IF(OR(AND($A222="",$B222="",$C222="",$D222="",$E222="",$F222="",$G222="",$H222=""),NOT($S222="")),"",ROUND($J222+$K222+$L222+$H222,2))</f>
        <v/>
      </c>
      <c r="N222" s="19" t="str">
        <f aca="false">IF(OR(AND($A222="",$B222="",$C222="",$D222="",$E222="",$F222="",$G222="",$H222=""),NOT($S222="")),"",ROUND($B222-$M222,2))</f>
        <v/>
      </c>
      <c r="O222" s="20" t="str">
        <f aca="false">IF(OR(AND($A222="",$B222="",$C222="",$D222="",$E222="",$F222="",$G222="",$H222=""),NOT($S222="")),"",IF($B222=0,"n/a",INT(ROUND($N222/$B222*10000,6))/10000))</f>
        <v/>
      </c>
      <c r="P222" s="18" t="str">
        <f aca="false">IF(OR(AND($A222="",$B222="",$C222="",$D222="",$E222="",$F222="",$G222="",$H222=""),NOT($S222="")),"",ROUNDUP(ROUND($M222*10000/(10000-TargetH),9),2))</f>
        <v/>
      </c>
      <c r="Q222" s="18" t="str">
        <f aca="false">IF(OR(AND($A222="",$B222="",$C222="",$D222="",$E222="",$F222="",$G222="",$H222=""),NOT($S222="")),"",MAX(0,ROUND($P222-$B222,2)))</f>
        <v/>
      </c>
      <c r="R222" s="21" t="str">
        <f aca="false">IF(AND($A222="",$B222="",$C222="",$D222="",$E222="",$F222="",$G222="",$H222=""),"",IF(NOT($S222=""),"Check inputs",IF($B222=0,"No fee entered",IF($N222&lt;0,"Losing money on entered costs",IF(ROUND($N222*100,0)*10000&lt;TargetH*ROUND($B222*100,0),"Below your target","Meets your target")))))</f>
        <v/>
      </c>
      <c r="S222" s="22" t="str">
        <f aca="false">IF(AND($A222="",$B222="",$C222="",$D222="",$E222="",$F222="",$G222="",$H222=""),"",TRIM(IF($A222="","Customer/site label is missing. ","")&amp;IF($B222="","Monthly fee is missing. ",IF(NOT(ISNUMBER($B222)),"Monthly fee must be a number. ",IF($B222&lt;0,"Monthly fee can't be negative. ",IF(ROUND($B222,2)&lt;&gt;$B222,"Monthly fee: use up to 2 decimal places. ",IF($B222&gt;99999.99,"Monthly fee: use 99,999.99 or less. ","")))))&amp;IF($C222="","Visits per month is missing. ",IF(NOT(ISNUMBER($C222)),"Visits per month must be a number. ",IF($C222&lt;0,"Visits per month can't be negative. ",IF(ROUND($C222,3)&lt;&gt;$C222,"Visits per month: use up to 3 decimal places. ",IF($C222=0,"Visits per month must be more than 0. ",IF($C222&gt;31,"Visits per month: use 31 or less. ",""))))))&amp;IF($D222="","Service minutes per visit is missing. ",IF(NOT(ISNUMBER($D222)),"Service minutes per visit must be a number. ",IF($D222&lt;0,"Service minutes per visit can't be negative. ",IF(ROUND($D222,2)&lt;&gt;$D222,"Service minutes per visit: use up to 2 decimal places. ",IF($D222=0,"Service minutes per visit must be more than 0. ",IF($D222&gt;600,"Service minutes per visit: use 600 or less. ",""))))))&amp;IF($E222="","Drive minutes per visit is missing. ",IF(NOT(ISNUMBER($E222)),"Drive minutes per visit must be a number. ",IF($E222&lt;0,"Drive minutes per visit can't be negative. ",IF(ROUND($E222,2)&lt;&gt;$E222,"Drive minutes per visit: use up to 2 decimal places. ",IF($E222&gt;600,"Drive minutes per visit: use 600 or less. ","")))))&amp;IF($F222="","Drive miles per visit is missing. ",IF(NOT(ISNUMBER($F222)),"Drive miles per visit must be a number. ",IF($F222&lt;0,"Drive miles per visit can't be negative. ",IF(ROUND($F222,2)&lt;&gt;$F222,"Drive miles per visit: use up to 2 decimal places. ",IF($F222&gt;1000,"Drive miles per visit: use 1,000 or less. ","")))))&amp;IF($G222="","Chemicals per visit is missing. ",IF(NOT(ISNUMBER($G222)),"Chemicals per visit must be a number. ",IF($G222&lt;0,"Chemicals per visit can't be negative. ",IF(ROUND($G222,2)&lt;&gt;$G222,"Chemicals per visit: use up to 2 decimal places. ",IF($G222&gt;9999.99,"Chemicals per visit: use 9,999.99 or less. ","")))))&amp;IF($H222="","Other monthly costs is missing. ",IF(NOT(ISNUMBER($H222)),"Other monthly costs must be a number. ",IF($H222&lt;0,"Other monthly costs can't be negative. ",IF(ROUND($H222,2)&lt;&gt;$H222,"Other monthly costs: use up to 2 decimal places. ",IF($H222&gt;99999.99,"Other monthly costs: use 99,999.99 or less. ","")))))&amp;IF(SettingsOK,"","Settings incomplete.")))</f>
        <v/>
      </c>
      <c r="T222" s="23" t="str">
        <f aca="false">IF(AND($A222="",$B222="",$C222="",$D222="",$E222="",$F222="",$G222="",$H222=""),"",IF(Review!$B$5="Check inputs",IF($R222="Check inputs",ROW(),""),IF($R222="Check inputs",IF(Review!$B$5="All accounts",-2000000000000000+ROW(),""),IF(AND(Review!$B$5="Needs review",$R222="Meets your target"),"",IF($R222="No fee entered",-1000000000000000+ROW(),$N222/$B222+ROW()/1000000000)))))</f>
        <v/>
      </c>
    </row>
    <row r="223" customFormat="false" ht="15" hidden="false" customHeight="false" outlineLevel="0" collapsed="false">
      <c r="A223" s="14"/>
      <c r="B223" s="15"/>
      <c r="C223" s="16"/>
      <c r="D223" s="14"/>
      <c r="E223" s="14"/>
      <c r="F223" s="14"/>
      <c r="G223" s="15"/>
      <c r="H223" s="15"/>
      <c r="I223" s="17" t="str">
        <f aca="false">IF(OR(AND($A223="",$B223="",$C223="",$D223="",$E223="",$F223="",$G223="",$H223=""),NOT($S223="")),"",ROUND($C223*($D223+$E223)/60,4))</f>
        <v/>
      </c>
      <c r="J223" s="18" t="str">
        <f aca="false">IF(OR(AND($A223="",$B223="",$C223="",$D223="",$E223="",$F223="",$G223="",$H223=""),NOT($S223="")),"",ROUND(ROUND($C223*($D223+$E223)/60*$B$5,9),2))</f>
        <v/>
      </c>
      <c r="K223" s="18" t="str">
        <f aca="false">IF(OR(AND($A223="",$B223="",$C223="",$D223="",$E223="",$F223="",$G223="",$H223=""),NOT($S223="")),"",ROUND(ROUND($C223*$F223*$B$6,9),2))</f>
        <v/>
      </c>
      <c r="L223" s="18" t="str">
        <f aca="false">IF(OR(AND($A223="",$B223="",$C223="",$D223="",$E223="",$F223="",$G223="",$H223=""),NOT($S223="")),"",ROUND(ROUND($C223*$G223,9),2))</f>
        <v/>
      </c>
      <c r="M223" s="19" t="str">
        <f aca="false">IF(OR(AND($A223="",$B223="",$C223="",$D223="",$E223="",$F223="",$G223="",$H223=""),NOT($S223="")),"",ROUND($J223+$K223+$L223+$H223,2))</f>
        <v/>
      </c>
      <c r="N223" s="19" t="str">
        <f aca="false">IF(OR(AND($A223="",$B223="",$C223="",$D223="",$E223="",$F223="",$G223="",$H223=""),NOT($S223="")),"",ROUND($B223-$M223,2))</f>
        <v/>
      </c>
      <c r="O223" s="20" t="str">
        <f aca="false">IF(OR(AND($A223="",$B223="",$C223="",$D223="",$E223="",$F223="",$G223="",$H223=""),NOT($S223="")),"",IF($B223=0,"n/a",INT(ROUND($N223/$B223*10000,6))/10000))</f>
        <v/>
      </c>
      <c r="P223" s="18" t="str">
        <f aca="false">IF(OR(AND($A223="",$B223="",$C223="",$D223="",$E223="",$F223="",$G223="",$H223=""),NOT($S223="")),"",ROUNDUP(ROUND($M223*10000/(10000-TargetH),9),2))</f>
        <v/>
      </c>
      <c r="Q223" s="18" t="str">
        <f aca="false">IF(OR(AND($A223="",$B223="",$C223="",$D223="",$E223="",$F223="",$G223="",$H223=""),NOT($S223="")),"",MAX(0,ROUND($P223-$B223,2)))</f>
        <v/>
      </c>
      <c r="R223" s="21" t="str">
        <f aca="false">IF(AND($A223="",$B223="",$C223="",$D223="",$E223="",$F223="",$G223="",$H223=""),"",IF(NOT($S223=""),"Check inputs",IF($B223=0,"No fee entered",IF($N223&lt;0,"Losing money on entered costs",IF(ROUND($N223*100,0)*10000&lt;TargetH*ROUND($B223*100,0),"Below your target","Meets your target")))))</f>
        <v/>
      </c>
      <c r="S223" s="22" t="str">
        <f aca="false">IF(AND($A223="",$B223="",$C223="",$D223="",$E223="",$F223="",$G223="",$H223=""),"",TRIM(IF($A223="","Customer/site label is missing. ","")&amp;IF($B223="","Monthly fee is missing. ",IF(NOT(ISNUMBER($B223)),"Monthly fee must be a number. ",IF($B223&lt;0,"Monthly fee can't be negative. ",IF(ROUND($B223,2)&lt;&gt;$B223,"Monthly fee: use up to 2 decimal places. ",IF($B223&gt;99999.99,"Monthly fee: use 99,999.99 or less. ","")))))&amp;IF($C223="","Visits per month is missing. ",IF(NOT(ISNUMBER($C223)),"Visits per month must be a number. ",IF($C223&lt;0,"Visits per month can't be negative. ",IF(ROUND($C223,3)&lt;&gt;$C223,"Visits per month: use up to 3 decimal places. ",IF($C223=0,"Visits per month must be more than 0. ",IF($C223&gt;31,"Visits per month: use 31 or less. ",""))))))&amp;IF($D223="","Service minutes per visit is missing. ",IF(NOT(ISNUMBER($D223)),"Service minutes per visit must be a number. ",IF($D223&lt;0,"Service minutes per visit can't be negative. ",IF(ROUND($D223,2)&lt;&gt;$D223,"Service minutes per visit: use up to 2 decimal places. ",IF($D223=0,"Service minutes per visit must be more than 0. ",IF($D223&gt;600,"Service minutes per visit: use 600 or less. ",""))))))&amp;IF($E223="","Drive minutes per visit is missing. ",IF(NOT(ISNUMBER($E223)),"Drive minutes per visit must be a number. ",IF($E223&lt;0,"Drive minutes per visit can't be negative. ",IF(ROUND($E223,2)&lt;&gt;$E223,"Drive minutes per visit: use up to 2 decimal places. ",IF($E223&gt;600,"Drive minutes per visit: use 600 or less. ","")))))&amp;IF($F223="","Drive miles per visit is missing. ",IF(NOT(ISNUMBER($F223)),"Drive miles per visit must be a number. ",IF($F223&lt;0,"Drive miles per visit can't be negative. ",IF(ROUND($F223,2)&lt;&gt;$F223,"Drive miles per visit: use up to 2 decimal places. ",IF($F223&gt;1000,"Drive miles per visit: use 1,000 or less. ","")))))&amp;IF($G223="","Chemicals per visit is missing. ",IF(NOT(ISNUMBER($G223)),"Chemicals per visit must be a number. ",IF($G223&lt;0,"Chemicals per visit can't be negative. ",IF(ROUND($G223,2)&lt;&gt;$G223,"Chemicals per visit: use up to 2 decimal places. ",IF($G223&gt;9999.99,"Chemicals per visit: use 9,999.99 or less. ","")))))&amp;IF($H223="","Other monthly costs is missing. ",IF(NOT(ISNUMBER($H223)),"Other monthly costs must be a number. ",IF($H223&lt;0,"Other monthly costs can't be negative. ",IF(ROUND($H223,2)&lt;&gt;$H223,"Other monthly costs: use up to 2 decimal places. ",IF($H223&gt;99999.99,"Other monthly costs: use 99,999.99 or less. ","")))))&amp;IF(SettingsOK,"","Settings incomplete.")))</f>
        <v/>
      </c>
      <c r="T223" s="23" t="str">
        <f aca="false">IF(AND($A223="",$B223="",$C223="",$D223="",$E223="",$F223="",$G223="",$H223=""),"",IF(Review!$B$5="Check inputs",IF($R223="Check inputs",ROW(),""),IF($R223="Check inputs",IF(Review!$B$5="All accounts",-2000000000000000+ROW(),""),IF(AND(Review!$B$5="Needs review",$R223="Meets your target"),"",IF($R223="No fee entered",-1000000000000000+ROW(),$N223/$B223+ROW()/1000000000)))))</f>
        <v/>
      </c>
    </row>
    <row r="224" customFormat="false" ht="15" hidden="false" customHeight="false" outlineLevel="0" collapsed="false">
      <c r="A224" s="14"/>
      <c r="B224" s="15"/>
      <c r="C224" s="16"/>
      <c r="D224" s="14"/>
      <c r="E224" s="14"/>
      <c r="F224" s="14"/>
      <c r="G224" s="15"/>
      <c r="H224" s="15"/>
      <c r="I224" s="17" t="str">
        <f aca="false">IF(OR(AND($A224="",$B224="",$C224="",$D224="",$E224="",$F224="",$G224="",$H224=""),NOT($S224="")),"",ROUND($C224*($D224+$E224)/60,4))</f>
        <v/>
      </c>
      <c r="J224" s="18" t="str">
        <f aca="false">IF(OR(AND($A224="",$B224="",$C224="",$D224="",$E224="",$F224="",$G224="",$H224=""),NOT($S224="")),"",ROUND(ROUND($C224*($D224+$E224)/60*$B$5,9),2))</f>
        <v/>
      </c>
      <c r="K224" s="18" t="str">
        <f aca="false">IF(OR(AND($A224="",$B224="",$C224="",$D224="",$E224="",$F224="",$G224="",$H224=""),NOT($S224="")),"",ROUND(ROUND($C224*$F224*$B$6,9),2))</f>
        <v/>
      </c>
      <c r="L224" s="18" t="str">
        <f aca="false">IF(OR(AND($A224="",$B224="",$C224="",$D224="",$E224="",$F224="",$G224="",$H224=""),NOT($S224="")),"",ROUND(ROUND($C224*$G224,9),2))</f>
        <v/>
      </c>
      <c r="M224" s="19" t="str">
        <f aca="false">IF(OR(AND($A224="",$B224="",$C224="",$D224="",$E224="",$F224="",$G224="",$H224=""),NOT($S224="")),"",ROUND($J224+$K224+$L224+$H224,2))</f>
        <v/>
      </c>
      <c r="N224" s="19" t="str">
        <f aca="false">IF(OR(AND($A224="",$B224="",$C224="",$D224="",$E224="",$F224="",$G224="",$H224=""),NOT($S224="")),"",ROUND($B224-$M224,2))</f>
        <v/>
      </c>
      <c r="O224" s="20" t="str">
        <f aca="false">IF(OR(AND($A224="",$B224="",$C224="",$D224="",$E224="",$F224="",$G224="",$H224=""),NOT($S224="")),"",IF($B224=0,"n/a",INT(ROUND($N224/$B224*10000,6))/10000))</f>
        <v/>
      </c>
      <c r="P224" s="18" t="str">
        <f aca="false">IF(OR(AND($A224="",$B224="",$C224="",$D224="",$E224="",$F224="",$G224="",$H224=""),NOT($S224="")),"",ROUNDUP(ROUND($M224*10000/(10000-TargetH),9),2))</f>
        <v/>
      </c>
      <c r="Q224" s="18" t="str">
        <f aca="false">IF(OR(AND($A224="",$B224="",$C224="",$D224="",$E224="",$F224="",$G224="",$H224=""),NOT($S224="")),"",MAX(0,ROUND($P224-$B224,2)))</f>
        <v/>
      </c>
      <c r="R224" s="21" t="str">
        <f aca="false">IF(AND($A224="",$B224="",$C224="",$D224="",$E224="",$F224="",$G224="",$H224=""),"",IF(NOT($S224=""),"Check inputs",IF($B224=0,"No fee entered",IF($N224&lt;0,"Losing money on entered costs",IF(ROUND($N224*100,0)*10000&lt;TargetH*ROUND($B224*100,0),"Below your target","Meets your target")))))</f>
        <v/>
      </c>
      <c r="S224" s="22" t="str">
        <f aca="false">IF(AND($A224="",$B224="",$C224="",$D224="",$E224="",$F224="",$G224="",$H224=""),"",TRIM(IF($A224="","Customer/site label is missing. ","")&amp;IF($B224="","Monthly fee is missing. ",IF(NOT(ISNUMBER($B224)),"Monthly fee must be a number. ",IF($B224&lt;0,"Monthly fee can't be negative. ",IF(ROUND($B224,2)&lt;&gt;$B224,"Monthly fee: use up to 2 decimal places. ",IF($B224&gt;99999.99,"Monthly fee: use 99,999.99 or less. ","")))))&amp;IF($C224="","Visits per month is missing. ",IF(NOT(ISNUMBER($C224)),"Visits per month must be a number. ",IF($C224&lt;0,"Visits per month can't be negative. ",IF(ROUND($C224,3)&lt;&gt;$C224,"Visits per month: use up to 3 decimal places. ",IF($C224=0,"Visits per month must be more than 0. ",IF($C224&gt;31,"Visits per month: use 31 or less. ",""))))))&amp;IF($D224="","Service minutes per visit is missing. ",IF(NOT(ISNUMBER($D224)),"Service minutes per visit must be a number. ",IF($D224&lt;0,"Service minutes per visit can't be negative. ",IF(ROUND($D224,2)&lt;&gt;$D224,"Service minutes per visit: use up to 2 decimal places. ",IF($D224=0,"Service minutes per visit must be more than 0. ",IF($D224&gt;600,"Service minutes per visit: use 600 or less. ",""))))))&amp;IF($E224="","Drive minutes per visit is missing. ",IF(NOT(ISNUMBER($E224)),"Drive minutes per visit must be a number. ",IF($E224&lt;0,"Drive minutes per visit can't be negative. ",IF(ROUND($E224,2)&lt;&gt;$E224,"Drive minutes per visit: use up to 2 decimal places. ",IF($E224&gt;600,"Drive minutes per visit: use 600 or less. ","")))))&amp;IF($F224="","Drive miles per visit is missing. ",IF(NOT(ISNUMBER($F224)),"Drive miles per visit must be a number. ",IF($F224&lt;0,"Drive miles per visit can't be negative. ",IF(ROUND($F224,2)&lt;&gt;$F224,"Drive miles per visit: use up to 2 decimal places. ",IF($F224&gt;1000,"Drive miles per visit: use 1,000 or less. ","")))))&amp;IF($G224="","Chemicals per visit is missing. ",IF(NOT(ISNUMBER($G224)),"Chemicals per visit must be a number. ",IF($G224&lt;0,"Chemicals per visit can't be negative. ",IF(ROUND($G224,2)&lt;&gt;$G224,"Chemicals per visit: use up to 2 decimal places. ",IF($G224&gt;9999.99,"Chemicals per visit: use 9,999.99 or less. ","")))))&amp;IF($H224="","Other monthly costs is missing. ",IF(NOT(ISNUMBER($H224)),"Other monthly costs must be a number. ",IF($H224&lt;0,"Other monthly costs can't be negative. ",IF(ROUND($H224,2)&lt;&gt;$H224,"Other monthly costs: use up to 2 decimal places. ",IF($H224&gt;99999.99,"Other monthly costs: use 99,999.99 or less. ","")))))&amp;IF(SettingsOK,"","Settings incomplete.")))</f>
        <v/>
      </c>
      <c r="T224" s="23" t="str">
        <f aca="false">IF(AND($A224="",$B224="",$C224="",$D224="",$E224="",$F224="",$G224="",$H224=""),"",IF(Review!$B$5="Check inputs",IF($R224="Check inputs",ROW(),""),IF($R224="Check inputs",IF(Review!$B$5="All accounts",-2000000000000000+ROW(),""),IF(AND(Review!$B$5="Needs review",$R224="Meets your target"),"",IF($R224="No fee entered",-1000000000000000+ROW(),$N224/$B224+ROW()/1000000000)))))</f>
        <v/>
      </c>
    </row>
    <row r="225" customFormat="false" ht="15" hidden="false" customHeight="false" outlineLevel="0" collapsed="false">
      <c r="A225" s="14"/>
      <c r="B225" s="15"/>
      <c r="C225" s="16"/>
      <c r="D225" s="14"/>
      <c r="E225" s="14"/>
      <c r="F225" s="14"/>
      <c r="G225" s="15"/>
      <c r="H225" s="15"/>
      <c r="I225" s="17" t="str">
        <f aca="false">IF(OR(AND($A225="",$B225="",$C225="",$D225="",$E225="",$F225="",$G225="",$H225=""),NOT($S225="")),"",ROUND($C225*($D225+$E225)/60,4))</f>
        <v/>
      </c>
      <c r="J225" s="18" t="str">
        <f aca="false">IF(OR(AND($A225="",$B225="",$C225="",$D225="",$E225="",$F225="",$G225="",$H225=""),NOT($S225="")),"",ROUND(ROUND($C225*($D225+$E225)/60*$B$5,9),2))</f>
        <v/>
      </c>
      <c r="K225" s="18" t="str">
        <f aca="false">IF(OR(AND($A225="",$B225="",$C225="",$D225="",$E225="",$F225="",$G225="",$H225=""),NOT($S225="")),"",ROUND(ROUND($C225*$F225*$B$6,9),2))</f>
        <v/>
      </c>
      <c r="L225" s="18" t="str">
        <f aca="false">IF(OR(AND($A225="",$B225="",$C225="",$D225="",$E225="",$F225="",$G225="",$H225=""),NOT($S225="")),"",ROUND(ROUND($C225*$G225,9),2))</f>
        <v/>
      </c>
      <c r="M225" s="19" t="str">
        <f aca="false">IF(OR(AND($A225="",$B225="",$C225="",$D225="",$E225="",$F225="",$G225="",$H225=""),NOT($S225="")),"",ROUND($J225+$K225+$L225+$H225,2))</f>
        <v/>
      </c>
      <c r="N225" s="19" t="str">
        <f aca="false">IF(OR(AND($A225="",$B225="",$C225="",$D225="",$E225="",$F225="",$G225="",$H225=""),NOT($S225="")),"",ROUND($B225-$M225,2))</f>
        <v/>
      </c>
      <c r="O225" s="20" t="str">
        <f aca="false">IF(OR(AND($A225="",$B225="",$C225="",$D225="",$E225="",$F225="",$G225="",$H225=""),NOT($S225="")),"",IF($B225=0,"n/a",INT(ROUND($N225/$B225*10000,6))/10000))</f>
        <v/>
      </c>
      <c r="P225" s="18" t="str">
        <f aca="false">IF(OR(AND($A225="",$B225="",$C225="",$D225="",$E225="",$F225="",$G225="",$H225=""),NOT($S225="")),"",ROUNDUP(ROUND($M225*10000/(10000-TargetH),9),2))</f>
        <v/>
      </c>
      <c r="Q225" s="18" t="str">
        <f aca="false">IF(OR(AND($A225="",$B225="",$C225="",$D225="",$E225="",$F225="",$G225="",$H225=""),NOT($S225="")),"",MAX(0,ROUND($P225-$B225,2)))</f>
        <v/>
      </c>
      <c r="R225" s="21" t="str">
        <f aca="false">IF(AND($A225="",$B225="",$C225="",$D225="",$E225="",$F225="",$G225="",$H225=""),"",IF(NOT($S225=""),"Check inputs",IF($B225=0,"No fee entered",IF($N225&lt;0,"Losing money on entered costs",IF(ROUND($N225*100,0)*10000&lt;TargetH*ROUND($B225*100,0),"Below your target","Meets your target")))))</f>
        <v/>
      </c>
      <c r="S225" s="22" t="str">
        <f aca="false">IF(AND($A225="",$B225="",$C225="",$D225="",$E225="",$F225="",$G225="",$H225=""),"",TRIM(IF($A225="","Customer/site label is missing. ","")&amp;IF($B225="","Monthly fee is missing. ",IF(NOT(ISNUMBER($B225)),"Monthly fee must be a number. ",IF($B225&lt;0,"Monthly fee can't be negative. ",IF(ROUND($B225,2)&lt;&gt;$B225,"Monthly fee: use up to 2 decimal places. ",IF($B225&gt;99999.99,"Monthly fee: use 99,999.99 or less. ","")))))&amp;IF($C225="","Visits per month is missing. ",IF(NOT(ISNUMBER($C225)),"Visits per month must be a number. ",IF($C225&lt;0,"Visits per month can't be negative. ",IF(ROUND($C225,3)&lt;&gt;$C225,"Visits per month: use up to 3 decimal places. ",IF($C225=0,"Visits per month must be more than 0. ",IF($C225&gt;31,"Visits per month: use 31 or less. ",""))))))&amp;IF($D225="","Service minutes per visit is missing. ",IF(NOT(ISNUMBER($D225)),"Service minutes per visit must be a number. ",IF($D225&lt;0,"Service minutes per visit can't be negative. ",IF(ROUND($D225,2)&lt;&gt;$D225,"Service minutes per visit: use up to 2 decimal places. ",IF($D225=0,"Service minutes per visit must be more than 0. ",IF($D225&gt;600,"Service minutes per visit: use 600 or less. ",""))))))&amp;IF($E225="","Drive minutes per visit is missing. ",IF(NOT(ISNUMBER($E225)),"Drive minutes per visit must be a number. ",IF($E225&lt;0,"Drive minutes per visit can't be negative. ",IF(ROUND($E225,2)&lt;&gt;$E225,"Drive minutes per visit: use up to 2 decimal places. ",IF($E225&gt;600,"Drive minutes per visit: use 600 or less. ","")))))&amp;IF($F225="","Drive miles per visit is missing. ",IF(NOT(ISNUMBER($F225)),"Drive miles per visit must be a number. ",IF($F225&lt;0,"Drive miles per visit can't be negative. ",IF(ROUND($F225,2)&lt;&gt;$F225,"Drive miles per visit: use up to 2 decimal places. ",IF($F225&gt;1000,"Drive miles per visit: use 1,000 or less. ","")))))&amp;IF($G225="","Chemicals per visit is missing. ",IF(NOT(ISNUMBER($G225)),"Chemicals per visit must be a number. ",IF($G225&lt;0,"Chemicals per visit can't be negative. ",IF(ROUND($G225,2)&lt;&gt;$G225,"Chemicals per visit: use up to 2 decimal places. ",IF($G225&gt;9999.99,"Chemicals per visit: use 9,999.99 or less. ","")))))&amp;IF($H225="","Other monthly costs is missing. ",IF(NOT(ISNUMBER($H225)),"Other monthly costs must be a number. ",IF($H225&lt;0,"Other monthly costs can't be negative. ",IF(ROUND($H225,2)&lt;&gt;$H225,"Other monthly costs: use up to 2 decimal places. ",IF($H225&gt;99999.99,"Other monthly costs: use 99,999.99 or less. ","")))))&amp;IF(SettingsOK,"","Settings incomplete.")))</f>
        <v/>
      </c>
      <c r="T225" s="23" t="str">
        <f aca="false">IF(AND($A225="",$B225="",$C225="",$D225="",$E225="",$F225="",$G225="",$H225=""),"",IF(Review!$B$5="Check inputs",IF($R225="Check inputs",ROW(),""),IF($R225="Check inputs",IF(Review!$B$5="All accounts",-2000000000000000+ROW(),""),IF(AND(Review!$B$5="Needs review",$R225="Meets your target"),"",IF($R225="No fee entered",-1000000000000000+ROW(),$N225/$B225+ROW()/1000000000)))))</f>
        <v/>
      </c>
    </row>
    <row r="226" customFormat="false" ht="15" hidden="false" customHeight="false" outlineLevel="0" collapsed="false">
      <c r="A226" s="14"/>
      <c r="B226" s="15"/>
      <c r="C226" s="16"/>
      <c r="D226" s="14"/>
      <c r="E226" s="14"/>
      <c r="F226" s="14"/>
      <c r="G226" s="15"/>
      <c r="H226" s="15"/>
      <c r="I226" s="17" t="str">
        <f aca="false">IF(OR(AND($A226="",$B226="",$C226="",$D226="",$E226="",$F226="",$G226="",$H226=""),NOT($S226="")),"",ROUND($C226*($D226+$E226)/60,4))</f>
        <v/>
      </c>
      <c r="J226" s="18" t="str">
        <f aca="false">IF(OR(AND($A226="",$B226="",$C226="",$D226="",$E226="",$F226="",$G226="",$H226=""),NOT($S226="")),"",ROUND(ROUND($C226*($D226+$E226)/60*$B$5,9),2))</f>
        <v/>
      </c>
      <c r="K226" s="18" t="str">
        <f aca="false">IF(OR(AND($A226="",$B226="",$C226="",$D226="",$E226="",$F226="",$G226="",$H226=""),NOT($S226="")),"",ROUND(ROUND($C226*$F226*$B$6,9),2))</f>
        <v/>
      </c>
      <c r="L226" s="18" t="str">
        <f aca="false">IF(OR(AND($A226="",$B226="",$C226="",$D226="",$E226="",$F226="",$G226="",$H226=""),NOT($S226="")),"",ROUND(ROUND($C226*$G226,9),2))</f>
        <v/>
      </c>
      <c r="M226" s="19" t="str">
        <f aca="false">IF(OR(AND($A226="",$B226="",$C226="",$D226="",$E226="",$F226="",$G226="",$H226=""),NOT($S226="")),"",ROUND($J226+$K226+$L226+$H226,2))</f>
        <v/>
      </c>
      <c r="N226" s="19" t="str">
        <f aca="false">IF(OR(AND($A226="",$B226="",$C226="",$D226="",$E226="",$F226="",$G226="",$H226=""),NOT($S226="")),"",ROUND($B226-$M226,2))</f>
        <v/>
      </c>
      <c r="O226" s="20" t="str">
        <f aca="false">IF(OR(AND($A226="",$B226="",$C226="",$D226="",$E226="",$F226="",$G226="",$H226=""),NOT($S226="")),"",IF($B226=0,"n/a",INT(ROUND($N226/$B226*10000,6))/10000))</f>
        <v/>
      </c>
      <c r="P226" s="18" t="str">
        <f aca="false">IF(OR(AND($A226="",$B226="",$C226="",$D226="",$E226="",$F226="",$G226="",$H226=""),NOT($S226="")),"",ROUNDUP(ROUND($M226*10000/(10000-TargetH),9),2))</f>
        <v/>
      </c>
      <c r="Q226" s="18" t="str">
        <f aca="false">IF(OR(AND($A226="",$B226="",$C226="",$D226="",$E226="",$F226="",$G226="",$H226=""),NOT($S226="")),"",MAX(0,ROUND($P226-$B226,2)))</f>
        <v/>
      </c>
      <c r="R226" s="21" t="str">
        <f aca="false">IF(AND($A226="",$B226="",$C226="",$D226="",$E226="",$F226="",$G226="",$H226=""),"",IF(NOT($S226=""),"Check inputs",IF($B226=0,"No fee entered",IF($N226&lt;0,"Losing money on entered costs",IF(ROUND($N226*100,0)*10000&lt;TargetH*ROUND($B226*100,0),"Below your target","Meets your target")))))</f>
        <v/>
      </c>
      <c r="S226" s="22" t="str">
        <f aca="false">IF(AND($A226="",$B226="",$C226="",$D226="",$E226="",$F226="",$G226="",$H226=""),"",TRIM(IF($A226="","Customer/site label is missing. ","")&amp;IF($B226="","Monthly fee is missing. ",IF(NOT(ISNUMBER($B226)),"Monthly fee must be a number. ",IF($B226&lt;0,"Monthly fee can't be negative. ",IF(ROUND($B226,2)&lt;&gt;$B226,"Monthly fee: use up to 2 decimal places. ",IF($B226&gt;99999.99,"Monthly fee: use 99,999.99 or less. ","")))))&amp;IF($C226="","Visits per month is missing. ",IF(NOT(ISNUMBER($C226)),"Visits per month must be a number. ",IF($C226&lt;0,"Visits per month can't be negative. ",IF(ROUND($C226,3)&lt;&gt;$C226,"Visits per month: use up to 3 decimal places. ",IF($C226=0,"Visits per month must be more than 0. ",IF($C226&gt;31,"Visits per month: use 31 or less. ",""))))))&amp;IF($D226="","Service minutes per visit is missing. ",IF(NOT(ISNUMBER($D226)),"Service minutes per visit must be a number. ",IF($D226&lt;0,"Service minutes per visit can't be negative. ",IF(ROUND($D226,2)&lt;&gt;$D226,"Service minutes per visit: use up to 2 decimal places. ",IF($D226=0,"Service minutes per visit must be more than 0. ",IF($D226&gt;600,"Service minutes per visit: use 600 or less. ",""))))))&amp;IF($E226="","Drive minutes per visit is missing. ",IF(NOT(ISNUMBER($E226)),"Drive minutes per visit must be a number. ",IF($E226&lt;0,"Drive minutes per visit can't be negative. ",IF(ROUND($E226,2)&lt;&gt;$E226,"Drive minutes per visit: use up to 2 decimal places. ",IF($E226&gt;600,"Drive minutes per visit: use 600 or less. ","")))))&amp;IF($F226="","Drive miles per visit is missing. ",IF(NOT(ISNUMBER($F226)),"Drive miles per visit must be a number. ",IF($F226&lt;0,"Drive miles per visit can't be negative. ",IF(ROUND($F226,2)&lt;&gt;$F226,"Drive miles per visit: use up to 2 decimal places. ",IF($F226&gt;1000,"Drive miles per visit: use 1,000 or less. ","")))))&amp;IF($G226="","Chemicals per visit is missing. ",IF(NOT(ISNUMBER($G226)),"Chemicals per visit must be a number. ",IF($G226&lt;0,"Chemicals per visit can't be negative. ",IF(ROUND($G226,2)&lt;&gt;$G226,"Chemicals per visit: use up to 2 decimal places. ",IF($G226&gt;9999.99,"Chemicals per visit: use 9,999.99 or less. ","")))))&amp;IF($H226="","Other monthly costs is missing. ",IF(NOT(ISNUMBER($H226)),"Other monthly costs must be a number. ",IF($H226&lt;0,"Other monthly costs can't be negative. ",IF(ROUND($H226,2)&lt;&gt;$H226,"Other monthly costs: use up to 2 decimal places. ",IF($H226&gt;99999.99,"Other monthly costs: use 99,999.99 or less. ","")))))&amp;IF(SettingsOK,"","Settings incomplete.")))</f>
        <v/>
      </c>
      <c r="T226" s="23" t="str">
        <f aca="false">IF(AND($A226="",$B226="",$C226="",$D226="",$E226="",$F226="",$G226="",$H226=""),"",IF(Review!$B$5="Check inputs",IF($R226="Check inputs",ROW(),""),IF($R226="Check inputs",IF(Review!$B$5="All accounts",-2000000000000000+ROW(),""),IF(AND(Review!$B$5="Needs review",$R226="Meets your target"),"",IF($R226="No fee entered",-1000000000000000+ROW(),$N226/$B226+ROW()/1000000000)))))</f>
        <v/>
      </c>
    </row>
    <row r="227" customFormat="false" ht="15" hidden="false" customHeight="false" outlineLevel="0" collapsed="false">
      <c r="A227" s="14"/>
      <c r="B227" s="15"/>
      <c r="C227" s="16"/>
      <c r="D227" s="14"/>
      <c r="E227" s="14"/>
      <c r="F227" s="14"/>
      <c r="G227" s="15"/>
      <c r="H227" s="15"/>
      <c r="I227" s="17" t="str">
        <f aca="false">IF(OR(AND($A227="",$B227="",$C227="",$D227="",$E227="",$F227="",$G227="",$H227=""),NOT($S227="")),"",ROUND($C227*($D227+$E227)/60,4))</f>
        <v/>
      </c>
      <c r="J227" s="18" t="str">
        <f aca="false">IF(OR(AND($A227="",$B227="",$C227="",$D227="",$E227="",$F227="",$G227="",$H227=""),NOT($S227="")),"",ROUND(ROUND($C227*($D227+$E227)/60*$B$5,9),2))</f>
        <v/>
      </c>
      <c r="K227" s="18" t="str">
        <f aca="false">IF(OR(AND($A227="",$B227="",$C227="",$D227="",$E227="",$F227="",$G227="",$H227=""),NOT($S227="")),"",ROUND(ROUND($C227*$F227*$B$6,9),2))</f>
        <v/>
      </c>
      <c r="L227" s="18" t="str">
        <f aca="false">IF(OR(AND($A227="",$B227="",$C227="",$D227="",$E227="",$F227="",$G227="",$H227=""),NOT($S227="")),"",ROUND(ROUND($C227*$G227,9),2))</f>
        <v/>
      </c>
      <c r="M227" s="19" t="str">
        <f aca="false">IF(OR(AND($A227="",$B227="",$C227="",$D227="",$E227="",$F227="",$G227="",$H227=""),NOT($S227="")),"",ROUND($J227+$K227+$L227+$H227,2))</f>
        <v/>
      </c>
      <c r="N227" s="19" t="str">
        <f aca="false">IF(OR(AND($A227="",$B227="",$C227="",$D227="",$E227="",$F227="",$G227="",$H227=""),NOT($S227="")),"",ROUND($B227-$M227,2))</f>
        <v/>
      </c>
      <c r="O227" s="20" t="str">
        <f aca="false">IF(OR(AND($A227="",$B227="",$C227="",$D227="",$E227="",$F227="",$G227="",$H227=""),NOT($S227="")),"",IF($B227=0,"n/a",INT(ROUND($N227/$B227*10000,6))/10000))</f>
        <v/>
      </c>
      <c r="P227" s="18" t="str">
        <f aca="false">IF(OR(AND($A227="",$B227="",$C227="",$D227="",$E227="",$F227="",$G227="",$H227=""),NOT($S227="")),"",ROUNDUP(ROUND($M227*10000/(10000-TargetH),9),2))</f>
        <v/>
      </c>
      <c r="Q227" s="18" t="str">
        <f aca="false">IF(OR(AND($A227="",$B227="",$C227="",$D227="",$E227="",$F227="",$G227="",$H227=""),NOT($S227="")),"",MAX(0,ROUND($P227-$B227,2)))</f>
        <v/>
      </c>
      <c r="R227" s="21" t="str">
        <f aca="false">IF(AND($A227="",$B227="",$C227="",$D227="",$E227="",$F227="",$G227="",$H227=""),"",IF(NOT($S227=""),"Check inputs",IF($B227=0,"No fee entered",IF($N227&lt;0,"Losing money on entered costs",IF(ROUND($N227*100,0)*10000&lt;TargetH*ROUND($B227*100,0),"Below your target","Meets your target")))))</f>
        <v/>
      </c>
      <c r="S227" s="22" t="str">
        <f aca="false">IF(AND($A227="",$B227="",$C227="",$D227="",$E227="",$F227="",$G227="",$H227=""),"",TRIM(IF($A227="","Customer/site label is missing. ","")&amp;IF($B227="","Monthly fee is missing. ",IF(NOT(ISNUMBER($B227)),"Monthly fee must be a number. ",IF($B227&lt;0,"Monthly fee can't be negative. ",IF(ROUND($B227,2)&lt;&gt;$B227,"Monthly fee: use up to 2 decimal places. ",IF($B227&gt;99999.99,"Monthly fee: use 99,999.99 or less. ","")))))&amp;IF($C227="","Visits per month is missing. ",IF(NOT(ISNUMBER($C227)),"Visits per month must be a number. ",IF($C227&lt;0,"Visits per month can't be negative. ",IF(ROUND($C227,3)&lt;&gt;$C227,"Visits per month: use up to 3 decimal places. ",IF($C227=0,"Visits per month must be more than 0. ",IF($C227&gt;31,"Visits per month: use 31 or less. ",""))))))&amp;IF($D227="","Service minutes per visit is missing. ",IF(NOT(ISNUMBER($D227)),"Service minutes per visit must be a number. ",IF($D227&lt;0,"Service minutes per visit can't be negative. ",IF(ROUND($D227,2)&lt;&gt;$D227,"Service minutes per visit: use up to 2 decimal places. ",IF($D227=0,"Service minutes per visit must be more than 0. ",IF($D227&gt;600,"Service minutes per visit: use 600 or less. ",""))))))&amp;IF($E227="","Drive minutes per visit is missing. ",IF(NOT(ISNUMBER($E227)),"Drive minutes per visit must be a number. ",IF($E227&lt;0,"Drive minutes per visit can't be negative. ",IF(ROUND($E227,2)&lt;&gt;$E227,"Drive minutes per visit: use up to 2 decimal places. ",IF($E227&gt;600,"Drive minutes per visit: use 600 or less. ","")))))&amp;IF($F227="","Drive miles per visit is missing. ",IF(NOT(ISNUMBER($F227)),"Drive miles per visit must be a number. ",IF($F227&lt;0,"Drive miles per visit can't be negative. ",IF(ROUND($F227,2)&lt;&gt;$F227,"Drive miles per visit: use up to 2 decimal places. ",IF($F227&gt;1000,"Drive miles per visit: use 1,000 or less. ","")))))&amp;IF($G227="","Chemicals per visit is missing. ",IF(NOT(ISNUMBER($G227)),"Chemicals per visit must be a number. ",IF($G227&lt;0,"Chemicals per visit can't be negative. ",IF(ROUND($G227,2)&lt;&gt;$G227,"Chemicals per visit: use up to 2 decimal places. ",IF($G227&gt;9999.99,"Chemicals per visit: use 9,999.99 or less. ","")))))&amp;IF($H227="","Other monthly costs is missing. ",IF(NOT(ISNUMBER($H227)),"Other monthly costs must be a number. ",IF($H227&lt;0,"Other monthly costs can't be negative. ",IF(ROUND($H227,2)&lt;&gt;$H227,"Other monthly costs: use up to 2 decimal places. ",IF($H227&gt;99999.99,"Other monthly costs: use 99,999.99 or less. ","")))))&amp;IF(SettingsOK,"","Settings incomplete.")))</f>
        <v/>
      </c>
      <c r="T227" s="23" t="str">
        <f aca="false">IF(AND($A227="",$B227="",$C227="",$D227="",$E227="",$F227="",$G227="",$H227=""),"",IF(Review!$B$5="Check inputs",IF($R227="Check inputs",ROW(),""),IF($R227="Check inputs",IF(Review!$B$5="All accounts",-2000000000000000+ROW(),""),IF(AND(Review!$B$5="Needs review",$R227="Meets your target"),"",IF($R227="No fee entered",-1000000000000000+ROW(),$N227/$B227+ROW()/1000000000)))))</f>
        <v/>
      </c>
    </row>
    <row r="228" customFormat="false" ht="15" hidden="false" customHeight="false" outlineLevel="0" collapsed="false">
      <c r="A228" s="14"/>
      <c r="B228" s="15"/>
      <c r="C228" s="16"/>
      <c r="D228" s="14"/>
      <c r="E228" s="14"/>
      <c r="F228" s="14"/>
      <c r="G228" s="15"/>
      <c r="H228" s="15"/>
      <c r="I228" s="17" t="str">
        <f aca="false">IF(OR(AND($A228="",$B228="",$C228="",$D228="",$E228="",$F228="",$G228="",$H228=""),NOT($S228="")),"",ROUND($C228*($D228+$E228)/60,4))</f>
        <v/>
      </c>
      <c r="J228" s="18" t="str">
        <f aca="false">IF(OR(AND($A228="",$B228="",$C228="",$D228="",$E228="",$F228="",$G228="",$H228=""),NOT($S228="")),"",ROUND(ROUND($C228*($D228+$E228)/60*$B$5,9),2))</f>
        <v/>
      </c>
      <c r="K228" s="18" t="str">
        <f aca="false">IF(OR(AND($A228="",$B228="",$C228="",$D228="",$E228="",$F228="",$G228="",$H228=""),NOT($S228="")),"",ROUND(ROUND($C228*$F228*$B$6,9),2))</f>
        <v/>
      </c>
      <c r="L228" s="18" t="str">
        <f aca="false">IF(OR(AND($A228="",$B228="",$C228="",$D228="",$E228="",$F228="",$G228="",$H228=""),NOT($S228="")),"",ROUND(ROUND($C228*$G228,9),2))</f>
        <v/>
      </c>
      <c r="M228" s="19" t="str">
        <f aca="false">IF(OR(AND($A228="",$B228="",$C228="",$D228="",$E228="",$F228="",$G228="",$H228=""),NOT($S228="")),"",ROUND($J228+$K228+$L228+$H228,2))</f>
        <v/>
      </c>
      <c r="N228" s="19" t="str">
        <f aca="false">IF(OR(AND($A228="",$B228="",$C228="",$D228="",$E228="",$F228="",$G228="",$H228=""),NOT($S228="")),"",ROUND($B228-$M228,2))</f>
        <v/>
      </c>
      <c r="O228" s="20" t="str">
        <f aca="false">IF(OR(AND($A228="",$B228="",$C228="",$D228="",$E228="",$F228="",$G228="",$H228=""),NOT($S228="")),"",IF($B228=0,"n/a",INT(ROUND($N228/$B228*10000,6))/10000))</f>
        <v/>
      </c>
      <c r="P228" s="18" t="str">
        <f aca="false">IF(OR(AND($A228="",$B228="",$C228="",$D228="",$E228="",$F228="",$G228="",$H228=""),NOT($S228="")),"",ROUNDUP(ROUND($M228*10000/(10000-TargetH),9),2))</f>
        <v/>
      </c>
      <c r="Q228" s="18" t="str">
        <f aca="false">IF(OR(AND($A228="",$B228="",$C228="",$D228="",$E228="",$F228="",$G228="",$H228=""),NOT($S228="")),"",MAX(0,ROUND($P228-$B228,2)))</f>
        <v/>
      </c>
      <c r="R228" s="21" t="str">
        <f aca="false">IF(AND($A228="",$B228="",$C228="",$D228="",$E228="",$F228="",$G228="",$H228=""),"",IF(NOT($S228=""),"Check inputs",IF($B228=0,"No fee entered",IF($N228&lt;0,"Losing money on entered costs",IF(ROUND($N228*100,0)*10000&lt;TargetH*ROUND($B228*100,0),"Below your target","Meets your target")))))</f>
        <v/>
      </c>
      <c r="S228" s="22" t="str">
        <f aca="false">IF(AND($A228="",$B228="",$C228="",$D228="",$E228="",$F228="",$G228="",$H228=""),"",TRIM(IF($A228="","Customer/site label is missing. ","")&amp;IF($B228="","Monthly fee is missing. ",IF(NOT(ISNUMBER($B228)),"Monthly fee must be a number. ",IF($B228&lt;0,"Monthly fee can't be negative. ",IF(ROUND($B228,2)&lt;&gt;$B228,"Monthly fee: use up to 2 decimal places. ",IF($B228&gt;99999.99,"Monthly fee: use 99,999.99 or less. ","")))))&amp;IF($C228="","Visits per month is missing. ",IF(NOT(ISNUMBER($C228)),"Visits per month must be a number. ",IF($C228&lt;0,"Visits per month can't be negative. ",IF(ROUND($C228,3)&lt;&gt;$C228,"Visits per month: use up to 3 decimal places. ",IF($C228=0,"Visits per month must be more than 0. ",IF($C228&gt;31,"Visits per month: use 31 or less. ",""))))))&amp;IF($D228="","Service minutes per visit is missing. ",IF(NOT(ISNUMBER($D228)),"Service minutes per visit must be a number. ",IF($D228&lt;0,"Service minutes per visit can't be negative. ",IF(ROUND($D228,2)&lt;&gt;$D228,"Service minutes per visit: use up to 2 decimal places. ",IF($D228=0,"Service minutes per visit must be more than 0. ",IF($D228&gt;600,"Service minutes per visit: use 600 or less. ",""))))))&amp;IF($E228="","Drive minutes per visit is missing. ",IF(NOT(ISNUMBER($E228)),"Drive minutes per visit must be a number. ",IF($E228&lt;0,"Drive minutes per visit can't be negative. ",IF(ROUND($E228,2)&lt;&gt;$E228,"Drive minutes per visit: use up to 2 decimal places. ",IF($E228&gt;600,"Drive minutes per visit: use 600 or less. ","")))))&amp;IF($F228="","Drive miles per visit is missing. ",IF(NOT(ISNUMBER($F228)),"Drive miles per visit must be a number. ",IF($F228&lt;0,"Drive miles per visit can't be negative. ",IF(ROUND($F228,2)&lt;&gt;$F228,"Drive miles per visit: use up to 2 decimal places. ",IF($F228&gt;1000,"Drive miles per visit: use 1,000 or less. ","")))))&amp;IF($G228="","Chemicals per visit is missing. ",IF(NOT(ISNUMBER($G228)),"Chemicals per visit must be a number. ",IF($G228&lt;0,"Chemicals per visit can't be negative. ",IF(ROUND($G228,2)&lt;&gt;$G228,"Chemicals per visit: use up to 2 decimal places. ",IF($G228&gt;9999.99,"Chemicals per visit: use 9,999.99 or less. ","")))))&amp;IF($H228="","Other monthly costs is missing. ",IF(NOT(ISNUMBER($H228)),"Other monthly costs must be a number. ",IF($H228&lt;0,"Other monthly costs can't be negative. ",IF(ROUND($H228,2)&lt;&gt;$H228,"Other monthly costs: use up to 2 decimal places. ",IF($H228&gt;99999.99,"Other monthly costs: use 99,999.99 or less. ","")))))&amp;IF(SettingsOK,"","Settings incomplete.")))</f>
        <v/>
      </c>
      <c r="T228" s="23" t="str">
        <f aca="false">IF(AND($A228="",$B228="",$C228="",$D228="",$E228="",$F228="",$G228="",$H228=""),"",IF(Review!$B$5="Check inputs",IF($R228="Check inputs",ROW(),""),IF($R228="Check inputs",IF(Review!$B$5="All accounts",-2000000000000000+ROW(),""),IF(AND(Review!$B$5="Needs review",$R228="Meets your target"),"",IF($R228="No fee entered",-1000000000000000+ROW(),$N228/$B228+ROW()/1000000000)))))</f>
        <v/>
      </c>
    </row>
    <row r="229" customFormat="false" ht="15" hidden="false" customHeight="false" outlineLevel="0" collapsed="false">
      <c r="A229" s="14"/>
      <c r="B229" s="15"/>
      <c r="C229" s="16"/>
      <c r="D229" s="14"/>
      <c r="E229" s="14"/>
      <c r="F229" s="14"/>
      <c r="G229" s="15"/>
      <c r="H229" s="15"/>
      <c r="I229" s="17" t="str">
        <f aca="false">IF(OR(AND($A229="",$B229="",$C229="",$D229="",$E229="",$F229="",$G229="",$H229=""),NOT($S229="")),"",ROUND($C229*($D229+$E229)/60,4))</f>
        <v/>
      </c>
      <c r="J229" s="18" t="str">
        <f aca="false">IF(OR(AND($A229="",$B229="",$C229="",$D229="",$E229="",$F229="",$G229="",$H229=""),NOT($S229="")),"",ROUND(ROUND($C229*($D229+$E229)/60*$B$5,9),2))</f>
        <v/>
      </c>
      <c r="K229" s="18" t="str">
        <f aca="false">IF(OR(AND($A229="",$B229="",$C229="",$D229="",$E229="",$F229="",$G229="",$H229=""),NOT($S229="")),"",ROUND(ROUND($C229*$F229*$B$6,9),2))</f>
        <v/>
      </c>
      <c r="L229" s="18" t="str">
        <f aca="false">IF(OR(AND($A229="",$B229="",$C229="",$D229="",$E229="",$F229="",$G229="",$H229=""),NOT($S229="")),"",ROUND(ROUND($C229*$G229,9),2))</f>
        <v/>
      </c>
      <c r="M229" s="19" t="str">
        <f aca="false">IF(OR(AND($A229="",$B229="",$C229="",$D229="",$E229="",$F229="",$G229="",$H229=""),NOT($S229="")),"",ROUND($J229+$K229+$L229+$H229,2))</f>
        <v/>
      </c>
      <c r="N229" s="19" t="str">
        <f aca="false">IF(OR(AND($A229="",$B229="",$C229="",$D229="",$E229="",$F229="",$G229="",$H229=""),NOT($S229="")),"",ROUND($B229-$M229,2))</f>
        <v/>
      </c>
      <c r="O229" s="20" t="str">
        <f aca="false">IF(OR(AND($A229="",$B229="",$C229="",$D229="",$E229="",$F229="",$G229="",$H229=""),NOT($S229="")),"",IF($B229=0,"n/a",INT(ROUND($N229/$B229*10000,6))/10000))</f>
        <v/>
      </c>
      <c r="P229" s="18" t="str">
        <f aca="false">IF(OR(AND($A229="",$B229="",$C229="",$D229="",$E229="",$F229="",$G229="",$H229=""),NOT($S229="")),"",ROUNDUP(ROUND($M229*10000/(10000-TargetH),9),2))</f>
        <v/>
      </c>
      <c r="Q229" s="18" t="str">
        <f aca="false">IF(OR(AND($A229="",$B229="",$C229="",$D229="",$E229="",$F229="",$G229="",$H229=""),NOT($S229="")),"",MAX(0,ROUND($P229-$B229,2)))</f>
        <v/>
      </c>
      <c r="R229" s="21" t="str">
        <f aca="false">IF(AND($A229="",$B229="",$C229="",$D229="",$E229="",$F229="",$G229="",$H229=""),"",IF(NOT($S229=""),"Check inputs",IF($B229=0,"No fee entered",IF($N229&lt;0,"Losing money on entered costs",IF(ROUND($N229*100,0)*10000&lt;TargetH*ROUND($B229*100,0),"Below your target","Meets your target")))))</f>
        <v/>
      </c>
      <c r="S229" s="22" t="str">
        <f aca="false">IF(AND($A229="",$B229="",$C229="",$D229="",$E229="",$F229="",$G229="",$H229=""),"",TRIM(IF($A229="","Customer/site label is missing. ","")&amp;IF($B229="","Monthly fee is missing. ",IF(NOT(ISNUMBER($B229)),"Monthly fee must be a number. ",IF($B229&lt;0,"Monthly fee can't be negative. ",IF(ROUND($B229,2)&lt;&gt;$B229,"Monthly fee: use up to 2 decimal places. ",IF($B229&gt;99999.99,"Monthly fee: use 99,999.99 or less. ","")))))&amp;IF($C229="","Visits per month is missing. ",IF(NOT(ISNUMBER($C229)),"Visits per month must be a number. ",IF($C229&lt;0,"Visits per month can't be negative. ",IF(ROUND($C229,3)&lt;&gt;$C229,"Visits per month: use up to 3 decimal places. ",IF($C229=0,"Visits per month must be more than 0. ",IF($C229&gt;31,"Visits per month: use 31 or less. ",""))))))&amp;IF($D229="","Service minutes per visit is missing. ",IF(NOT(ISNUMBER($D229)),"Service minutes per visit must be a number. ",IF($D229&lt;0,"Service minutes per visit can't be negative. ",IF(ROUND($D229,2)&lt;&gt;$D229,"Service minutes per visit: use up to 2 decimal places. ",IF($D229=0,"Service minutes per visit must be more than 0. ",IF($D229&gt;600,"Service minutes per visit: use 600 or less. ",""))))))&amp;IF($E229="","Drive minutes per visit is missing. ",IF(NOT(ISNUMBER($E229)),"Drive minutes per visit must be a number. ",IF($E229&lt;0,"Drive minutes per visit can't be negative. ",IF(ROUND($E229,2)&lt;&gt;$E229,"Drive minutes per visit: use up to 2 decimal places. ",IF($E229&gt;600,"Drive minutes per visit: use 600 or less. ","")))))&amp;IF($F229="","Drive miles per visit is missing. ",IF(NOT(ISNUMBER($F229)),"Drive miles per visit must be a number. ",IF($F229&lt;0,"Drive miles per visit can't be negative. ",IF(ROUND($F229,2)&lt;&gt;$F229,"Drive miles per visit: use up to 2 decimal places. ",IF($F229&gt;1000,"Drive miles per visit: use 1,000 or less. ","")))))&amp;IF($G229="","Chemicals per visit is missing. ",IF(NOT(ISNUMBER($G229)),"Chemicals per visit must be a number. ",IF($G229&lt;0,"Chemicals per visit can't be negative. ",IF(ROUND($G229,2)&lt;&gt;$G229,"Chemicals per visit: use up to 2 decimal places. ",IF($G229&gt;9999.99,"Chemicals per visit: use 9,999.99 or less. ","")))))&amp;IF($H229="","Other monthly costs is missing. ",IF(NOT(ISNUMBER($H229)),"Other monthly costs must be a number. ",IF($H229&lt;0,"Other monthly costs can't be negative. ",IF(ROUND($H229,2)&lt;&gt;$H229,"Other monthly costs: use up to 2 decimal places. ",IF($H229&gt;99999.99,"Other monthly costs: use 99,999.99 or less. ","")))))&amp;IF(SettingsOK,"","Settings incomplete.")))</f>
        <v/>
      </c>
      <c r="T229" s="23" t="str">
        <f aca="false">IF(AND($A229="",$B229="",$C229="",$D229="",$E229="",$F229="",$G229="",$H229=""),"",IF(Review!$B$5="Check inputs",IF($R229="Check inputs",ROW(),""),IF($R229="Check inputs",IF(Review!$B$5="All accounts",-2000000000000000+ROW(),""),IF(AND(Review!$B$5="Needs review",$R229="Meets your target"),"",IF($R229="No fee entered",-1000000000000000+ROW(),$N229/$B229+ROW()/1000000000)))))</f>
        <v/>
      </c>
    </row>
    <row r="230" customFormat="false" ht="15" hidden="false" customHeight="false" outlineLevel="0" collapsed="false">
      <c r="A230" s="14"/>
      <c r="B230" s="15"/>
      <c r="C230" s="16"/>
      <c r="D230" s="14"/>
      <c r="E230" s="14"/>
      <c r="F230" s="14"/>
      <c r="G230" s="15"/>
      <c r="H230" s="15"/>
      <c r="I230" s="17" t="str">
        <f aca="false">IF(OR(AND($A230="",$B230="",$C230="",$D230="",$E230="",$F230="",$G230="",$H230=""),NOT($S230="")),"",ROUND($C230*($D230+$E230)/60,4))</f>
        <v/>
      </c>
      <c r="J230" s="18" t="str">
        <f aca="false">IF(OR(AND($A230="",$B230="",$C230="",$D230="",$E230="",$F230="",$G230="",$H230=""),NOT($S230="")),"",ROUND(ROUND($C230*($D230+$E230)/60*$B$5,9),2))</f>
        <v/>
      </c>
      <c r="K230" s="18" t="str">
        <f aca="false">IF(OR(AND($A230="",$B230="",$C230="",$D230="",$E230="",$F230="",$G230="",$H230=""),NOT($S230="")),"",ROUND(ROUND($C230*$F230*$B$6,9),2))</f>
        <v/>
      </c>
      <c r="L230" s="18" t="str">
        <f aca="false">IF(OR(AND($A230="",$B230="",$C230="",$D230="",$E230="",$F230="",$G230="",$H230=""),NOT($S230="")),"",ROUND(ROUND($C230*$G230,9),2))</f>
        <v/>
      </c>
      <c r="M230" s="19" t="str">
        <f aca="false">IF(OR(AND($A230="",$B230="",$C230="",$D230="",$E230="",$F230="",$G230="",$H230=""),NOT($S230="")),"",ROUND($J230+$K230+$L230+$H230,2))</f>
        <v/>
      </c>
      <c r="N230" s="19" t="str">
        <f aca="false">IF(OR(AND($A230="",$B230="",$C230="",$D230="",$E230="",$F230="",$G230="",$H230=""),NOT($S230="")),"",ROUND($B230-$M230,2))</f>
        <v/>
      </c>
      <c r="O230" s="20" t="str">
        <f aca="false">IF(OR(AND($A230="",$B230="",$C230="",$D230="",$E230="",$F230="",$G230="",$H230=""),NOT($S230="")),"",IF($B230=0,"n/a",INT(ROUND($N230/$B230*10000,6))/10000))</f>
        <v/>
      </c>
      <c r="P230" s="18" t="str">
        <f aca="false">IF(OR(AND($A230="",$B230="",$C230="",$D230="",$E230="",$F230="",$G230="",$H230=""),NOT($S230="")),"",ROUNDUP(ROUND($M230*10000/(10000-TargetH),9),2))</f>
        <v/>
      </c>
      <c r="Q230" s="18" t="str">
        <f aca="false">IF(OR(AND($A230="",$B230="",$C230="",$D230="",$E230="",$F230="",$G230="",$H230=""),NOT($S230="")),"",MAX(0,ROUND($P230-$B230,2)))</f>
        <v/>
      </c>
      <c r="R230" s="21" t="str">
        <f aca="false">IF(AND($A230="",$B230="",$C230="",$D230="",$E230="",$F230="",$G230="",$H230=""),"",IF(NOT($S230=""),"Check inputs",IF($B230=0,"No fee entered",IF($N230&lt;0,"Losing money on entered costs",IF(ROUND($N230*100,0)*10000&lt;TargetH*ROUND($B230*100,0),"Below your target","Meets your target")))))</f>
        <v/>
      </c>
      <c r="S230" s="22" t="str">
        <f aca="false">IF(AND($A230="",$B230="",$C230="",$D230="",$E230="",$F230="",$G230="",$H230=""),"",TRIM(IF($A230="","Customer/site label is missing. ","")&amp;IF($B230="","Monthly fee is missing. ",IF(NOT(ISNUMBER($B230)),"Monthly fee must be a number. ",IF($B230&lt;0,"Monthly fee can't be negative. ",IF(ROUND($B230,2)&lt;&gt;$B230,"Monthly fee: use up to 2 decimal places. ",IF($B230&gt;99999.99,"Monthly fee: use 99,999.99 or less. ","")))))&amp;IF($C230="","Visits per month is missing. ",IF(NOT(ISNUMBER($C230)),"Visits per month must be a number. ",IF($C230&lt;0,"Visits per month can't be negative. ",IF(ROUND($C230,3)&lt;&gt;$C230,"Visits per month: use up to 3 decimal places. ",IF($C230=0,"Visits per month must be more than 0. ",IF($C230&gt;31,"Visits per month: use 31 or less. ",""))))))&amp;IF($D230="","Service minutes per visit is missing. ",IF(NOT(ISNUMBER($D230)),"Service minutes per visit must be a number. ",IF($D230&lt;0,"Service minutes per visit can't be negative. ",IF(ROUND($D230,2)&lt;&gt;$D230,"Service minutes per visit: use up to 2 decimal places. ",IF($D230=0,"Service minutes per visit must be more than 0. ",IF($D230&gt;600,"Service minutes per visit: use 600 or less. ",""))))))&amp;IF($E230="","Drive minutes per visit is missing. ",IF(NOT(ISNUMBER($E230)),"Drive minutes per visit must be a number. ",IF($E230&lt;0,"Drive minutes per visit can't be negative. ",IF(ROUND($E230,2)&lt;&gt;$E230,"Drive minutes per visit: use up to 2 decimal places. ",IF($E230&gt;600,"Drive minutes per visit: use 600 or less. ","")))))&amp;IF($F230="","Drive miles per visit is missing. ",IF(NOT(ISNUMBER($F230)),"Drive miles per visit must be a number. ",IF($F230&lt;0,"Drive miles per visit can't be negative. ",IF(ROUND($F230,2)&lt;&gt;$F230,"Drive miles per visit: use up to 2 decimal places. ",IF($F230&gt;1000,"Drive miles per visit: use 1,000 or less. ","")))))&amp;IF($G230="","Chemicals per visit is missing. ",IF(NOT(ISNUMBER($G230)),"Chemicals per visit must be a number. ",IF($G230&lt;0,"Chemicals per visit can't be negative. ",IF(ROUND($G230,2)&lt;&gt;$G230,"Chemicals per visit: use up to 2 decimal places. ",IF($G230&gt;9999.99,"Chemicals per visit: use 9,999.99 or less. ","")))))&amp;IF($H230="","Other monthly costs is missing. ",IF(NOT(ISNUMBER($H230)),"Other monthly costs must be a number. ",IF($H230&lt;0,"Other monthly costs can't be negative. ",IF(ROUND($H230,2)&lt;&gt;$H230,"Other monthly costs: use up to 2 decimal places. ",IF($H230&gt;99999.99,"Other monthly costs: use 99,999.99 or less. ","")))))&amp;IF(SettingsOK,"","Settings incomplete.")))</f>
        <v/>
      </c>
      <c r="T230" s="23" t="str">
        <f aca="false">IF(AND($A230="",$B230="",$C230="",$D230="",$E230="",$F230="",$G230="",$H230=""),"",IF(Review!$B$5="Check inputs",IF($R230="Check inputs",ROW(),""),IF($R230="Check inputs",IF(Review!$B$5="All accounts",-2000000000000000+ROW(),""),IF(AND(Review!$B$5="Needs review",$R230="Meets your target"),"",IF($R230="No fee entered",-1000000000000000+ROW(),$N230/$B230+ROW()/1000000000)))))</f>
        <v/>
      </c>
    </row>
    <row r="231" customFormat="false" ht="15" hidden="false" customHeight="false" outlineLevel="0" collapsed="false">
      <c r="A231" s="14"/>
      <c r="B231" s="15"/>
      <c r="C231" s="16"/>
      <c r="D231" s="14"/>
      <c r="E231" s="14"/>
      <c r="F231" s="14"/>
      <c r="G231" s="15"/>
      <c r="H231" s="15"/>
      <c r="I231" s="17" t="str">
        <f aca="false">IF(OR(AND($A231="",$B231="",$C231="",$D231="",$E231="",$F231="",$G231="",$H231=""),NOT($S231="")),"",ROUND($C231*($D231+$E231)/60,4))</f>
        <v/>
      </c>
      <c r="J231" s="18" t="str">
        <f aca="false">IF(OR(AND($A231="",$B231="",$C231="",$D231="",$E231="",$F231="",$G231="",$H231=""),NOT($S231="")),"",ROUND(ROUND($C231*($D231+$E231)/60*$B$5,9),2))</f>
        <v/>
      </c>
      <c r="K231" s="18" t="str">
        <f aca="false">IF(OR(AND($A231="",$B231="",$C231="",$D231="",$E231="",$F231="",$G231="",$H231=""),NOT($S231="")),"",ROUND(ROUND($C231*$F231*$B$6,9),2))</f>
        <v/>
      </c>
      <c r="L231" s="18" t="str">
        <f aca="false">IF(OR(AND($A231="",$B231="",$C231="",$D231="",$E231="",$F231="",$G231="",$H231=""),NOT($S231="")),"",ROUND(ROUND($C231*$G231,9),2))</f>
        <v/>
      </c>
      <c r="M231" s="19" t="str">
        <f aca="false">IF(OR(AND($A231="",$B231="",$C231="",$D231="",$E231="",$F231="",$G231="",$H231=""),NOT($S231="")),"",ROUND($J231+$K231+$L231+$H231,2))</f>
        <v/>
      </c>
      <c r="N231" s="19" t="str">
        <f aca="false">IF(OR(AND($A231="",$B231="",$C231="",$D231="",$E231="",$F231="",$G231="",$H231=""),NOT($S231="")),"",ROUND($B231-$M231,2))</f>
        <v/>
      </c>
      <c r="O231" s="20" t="str">
        <f aca="false">IF(OR(AND($A231="",$B231="",$C231="",$D231="",$E231="",$F231="",$G231="",$H231=""),NOT($S231="")),"",IF($B231=0,"n/a",INT(ROUND($N231/$B231*10000,6))/10000))</f>
        <v/>
      </c>
      <c r="P231" s="18" t="str">
        <f aca="false">IF(OR(AND($A231="",$B231="",$C231="",$D231="",$E231="",$F231="",$G231="",$H231=""),NOT($S231="")),"",ROUNDUP(ROUND($M231*10000/(10000-TargetH),9),2))</f>
        <v/>
      </c>
      <c r="Q231" s="18" t="str">
        <f aca="false">IF(OR(AND($A231="",$B231="",$C231="",$D231="",$E231="",$F231="",$G231="",$H231=""),NOT($S231="")),"",MAX(0,ROUND($P231-$B231,2)))</f>
        <v/>
      </c>
      <c r="R231" s="21" t="str">
        <f aca="false">IF(AND($A231="",$B231="",$C231="",$D231="",$E231="",$F231="",$G231="",$H231=""),"",IF(NOT($S231=""),"Check inputs",IF($B231=0,"No fee entered",IF($N231&lt;0,"Losing money on entered costs",IF(ROUND($N231*100,0)*10000&lt;TargetH*ROUND($B231*100,0),"Below your target","Meets your target")))))</f>
        <v/>
      </c>
      <c r="S231" s="22" t="str">
        <f aca="false">IF(AND($A231="",$B231="",$C231="",$D231="",$E231="",$F231="",$G231="",$H231=""),"",TRIM(IF($A231="","Customer/site label is missing. ","")&amp;IF($B231="","Monthly fee is missing. ",IF(NOT(ISNUMBER($B231)),"Monthly fee must be a number. ",IF($B231&lt;0,"Monthly fee can't be negative. ",IF(ROUND($B231,2)&lt;&gt;$B231,"Monthly fee: use up to 2 decimal places. ",IF($B231&gt;99999.99,"Monthly fee: use 99,999.99 or less. ","")))))&amp;IF($C231="","Visits per month is missing. ",IF(NOT(ISNUMBER($C231)),"Visits per month must be a number. ",IF($C231&lt;0,"Visits per month can't be negative. ",IF(ROUND($C231,3)&lt;&gt;$C231,"Visits per month: use up to 3 decimal places. ",IF($C231=0,"Visits per month must be more than 0. ",IF($C231&gt;31,"Visits per month: use 31 or less. ",""))))))&amp;IF($D231="","Service minutes per visit is missing. ",IF(NOT(ISNUMBER($D231)),"Service minutes per visit must be a number. ",IF($D231&lt;0,"Service minutes per visit can't be negative. ",IF(ROUND($D231,2)&lt;&gt;$D231,"Service minutes per visit: use up to 2 decimal places. ",IF($D231=0,"Service minutes per visit must be more than 0. ",IF($D231&gt;600,"Service minutes per visit: use 600 or less. ",""))))))&amp;IF($E231="","Drive minutes per visit is missing. ",IF(NOT(ISNUMBER($E231)),"Drive minutes per visit must be a number. ",IF($E231&lt;0,"Drive minutes per visit can't be negative. ",IF(ROUND($E231,2)&lt;&gt;$E231,"Drive minutes per visit: use up to 2 decimal places. ",IF($E231&gt;600,"Drive minutes per visit: use 600 or less. ","")))))&amp;IF($F231="","Drive miles per visit is missing. ",IF(NOT(ISNUMBER($F231)),"Drive miles per visit must be a number. ",IF($F231&lt;0,"Drive miles per visit can't be negative. ",IF(ROUND($F231,2)&lt;&gt;$F231,"Drive miles per visit: use up to 2 decimal places. ",IF($F231&gt;1000,"Drive miles per visit: use 1,000 or less. ","")))))&amp;IF($G231="","Chemicals per visit is missing. ",IF(NOT(ISNUMBER($G231)),"Chemicals per visit must be a number. ",IF($G231&lt;0,"Chemicals per visit can't be negative. ",IF(ROUND($G231,2)&lt;&gt;$G231,"Chemicals per visit: use up to 2 decimal places. ",IF($G231&gt;9999.99,"Chemicals per visit: use 9,999.99 or less. ","")))))&amp;IF($H231="","Other monthly costs is missing. ",IF(NOT(ISNUMBER($H231)),"Other monthly costs must be a number. ",IF($H231&lt;0,"Other monthly costs can't be negative. ",IF(ROUND($H231,2)&lt;&gt;$H231,"Other monthly costs: use up to 2 decimal places. ",IF($H231&gt;99999.99,"Other monthly costs: use 99,999.99 or less. ","")))))&amp;IF(SettingsOK,"","Settings incomplete.")))</f>
        <v/>
      </c>
      <c r="T231" s="23" t="str">
        <f aca="false">IF(AND($A231="",$B231="",$C231="",$D231="",$E231="",$F231="",$G231="",$H231=""),"",IF(Review!$B$5="Check inputs",IF($R231="Check inputs",ROW(),""),IF($R231="Check inputs",IF(Review!$B$5="All accounts",-2000000000000000+ROW(),""),IF(AND(Review!$B$5="Needs review",$R231="Meets your target"),"",IF($R231="No fee entered",-1000000000000000+ROW(),$N231/$B231+ROW()/1000000000)))))</f>
        <v/>
      </c>
    </row>
    <row r="232" customFormat="false" ht="15" hidden="false" customHeight="false" outlineLevel="0" collapsed="false">
      <c r="A232" s="14"/>
      <c r="B232" s="15"/>
      <c r="C232" s="16"/>
      <c r="D232" s="14"/>
      <c r="E232" s="14"/>
      <c r="F232" s="14"/>
      <c r="G232" s="15"/>
      <c r="H232" s="15"/>
      <c r="I232" s="17" t="str">
        <f aca="false">IF(OR(AND($A232="",$B232="",$C232="",$D232="",$E232="",$F232="",$G232="",$H232=""),NOT($S232="")),"",ROUND($C232*($D232+$E232)/60,4))</f>
        <v/>
      </c>
      <c r="J232" s="18" t="str">
        <f aca="false">IF(OR(AND($A232="",$B232="",$C232="",$D232="",$E232="",$F232="",$G232="",$H232=""),NOT($S232="")),"",ROUND(ROUND($C232*($D232+$E232)/60*$B$5,9),2))</f>
        <v/>
      </c>
      <c r="K232" s="18" t="str">
        <f aca="false">IF(OR(AND($A232="",$B232="",$C232="",$D232="",$E232="",$F232="",$G232="",$H232=""),NOT($S232="")),"",ROUND(ROUND($C232*$F232*$B$6,9),2))</f>
        <v/>
      </c>
      <c r="L232" s="18" t="str">
        <f aca="false">IF(OR(AND($A232="",$B232="",$C232="",$D232="",$E232="",$F232="",$G232="",$H232=""),NOT($S232="")),"",ROUND(ROUND($C232*$G232,9),2))</f>
        <v/>
      </c>
      <c r="M232" s="19" t="str">
        <f aca="false">IF(OR(AND($A232="",$B232="",$C232="",$D232="",$E232="",$F232="",$G232="",$H232=""),NOT($S232="")),"",ROUND($J232+$K232+$L232+$H232,2))</f>
        <v/>
      </c>
      <c r="N232" s="19" t="str">
        <f aca="false">IF(OR(AND($A232="",$B232="",$C232="",$D232="",$E232="",$F232="",$G232="",$H232=""),NOT($S232="")),"",ROUND($B232-$M232,2))</f>
        <v/>
      </c>
      <c r="O232" s="20" t="str">
        <f aca="false">IF(OR(AND($A232="",$B232="",$C232="",$D232="",$E232="",$F232="",$G232="",$H232=""),NOT($S232="")),"",IF($B232=0,"n/a",INT(ROUND($N232/$B232*10000,6))/10000))</f>
        <v/>
      </c>
      <c r="P232" s="18" t="str">
        <f aca="false">IF(OR(AND($A232="",$B232="",$C232="",$D232="",$E232="",$F232="",$G232="",$H232=""),NOT($S232="")),"",ROUNDUP(ROUND($M232*10000/(10000-TargetH),9),2))</f>
        <v/>
      </c>
      <c r="Q232" s="18" t="str">
        <f aca="false">IF(OR(AND($A232="",$B232="",$C232="",$D232="",$E232="",$F232="",$G232="",$H232=""),NOT($S232="")),"",MAX(0,ROUND($P232-$B232,2)))</f>
        <v/>
      </c>
      <c r="R232" s="21" t="str">
        <f aca="false">IF(AND($A232="",$B232="",$C232="",$D232="",$E232="",$F232="",$G232="",$H232=""),"",IF(NOT($S232=""),"Check inputs",IF($B232=0,"No fee entered",IF($N232&lt;0,"Losing money on entered costs",IF(ROUND($N232*100,0)*10000&lt;TargetH*ROUND($B232*100,0),"Below your target","Meets your target")))))</f>
        <v/>
      </c>
      <c r="S232" s="22" t="str">
        <f aca="false">IF(AND($A232="",$B232="",$C232="",$D232="",$E232="",$F232="",$G232="",$H232=""),"",TRIM(IF($A232="","Customer/site label is missing. ","")&amp;IF($B232="","Monthly fee is missing. ",IF(NOT(ISNUMBER($B232)),"Monthly fee must be a number. ",IF($B232&lt;0,"Monthly fee can't be negative. ",IF(ROUND($B232,2)&lt;&gt;$B232,"Monthly fee: use up to 2 decimal places. ",IF($B232&gt;99999.99,"Monthly fee: use 99,999.99 or less. ","")))))&amp;IF($C232="","Visits per month is missing. ",IF(NOT(ISNUMBER($C232)),"Visits per month must be a number. ",IF($C232&lt;0,"Visits per month can't be negative. ",IF(ROUND($C232,3)&lt;&gt;$C232,"Visits per month: use up to 3 decimal places. ",IF($C232=0,"Visits per month must be more than 0. ",IF($C232&gt;31,"Visits per month: use 31 or less. ",""))))))&amp;IF($D232="","Service minutes per visit is missing. ",IF(NOT(ISNUMBER($D232)),"Service minutes per visit must be a number. ",IF($D232&lt;0,"Service minutes per visit can't be negative. ",IF(ROUND($D232,2)&lt;&gt;$D232,"Service minutes per visit: use up to 2 decimal places. ",IF($D232=0,"Service minutes per visit must be more than 0. ",IF($D232&gt;600,"Service minutes per visit: use 600 or less. ",""))))))&amp;IF($E232="","Drive minutes per visit is missing. ",IF(NOT(ISNUMBER($E232)),"Drive minutes per visit must be a number. ",IF($E232&lt;0,"Drive minutes per visit can't be negative. ",IF(ROUND($E232,2)&lt;&gt;$E232,"Drive minutes per visit: use up to 2 decimal places. ",IF($E232&gt;600,"Drive minutes per visit: use 600 or less. ","")))))&amp;IF($F232="","Drive miles per visit is missing. ",IF(NOT(ISNUMBER($F232)),"Drive miles per visit must be a number. ",IF($F232&lt;0,"Drive miles per visit can't be negative. ",IF(ROUND($F232,2)&lt;&gt;$F232,"Drive miles per visit: use up to 2 decimal places. ",IF($F232&gt;1000,"Drive miles per visit: use 1,000 or less. ","")))))&amp;IF($G232="","Chemicals per visit is missing. ",IF(NOT(ISNUMBER($G232)),"Chemicals per visit must be a number. ",IF($G232&lt;0,"Chemicals per visit can't be negative. ",IF(ROUND($G232,2)&lt;&gt;$G232,"Chemicals per visit: use up to 2 decimal places. ",IF($G232&gt;9999.99,"Chemicals per visit: use 9,999.99 or less. ","")))))&amp;IF($H232="","Other monthly costs is missing. ",IF(NOT(ISNUMBER($H232)),"Other monthly costs must be a number. ",IF($H232&lt;0,"Other monthly costs can't be negative. ",IF(ROUND($H232,2)&lt;&gt;$H232,"Other monthly costs: use up to 2 decimal places. ",IF($H232&gt;99999.99,"Other monthly costs: use 99,999.99 or less. ","")))))&amp;IF(SettingsOK,"","Settings incomplete.")))</f>
        <v/>
      </c>
      <c r="T232" s="23" t="str">
        <f aca="false">IF(AND($A232="",$B232="",$C232="",$D232="",$E232="",$F232="",$G232="",$H232=""),"",IF(Review!$B$5="Check inputs",IF($R232="Check inputs",ROW(),""),IF($R232="Check inputs",IF(Review!$B$5="All accounts",-2000000000000000+ROW(),""),IF(AND(Review!$B$5="Needs review",$R232="Meets your target"),"",IF($R232="No fee entered",-1000000000000000+ROW(),$N232/$B232+ROW()/1000000000)))))</f>
        <v/>
      </c>
    </row>
    <row r="233" customFormat="false" ht="15" hidden="false" customHeight="false" outlineLevel="0" collapsed="false">
      <c r="A233" s="14"/>
      <c r="B233" s="15"/>
      <c r="C233" s="16"/>
      <c r="D233" s="14"/>
      <c r="E233" s="14"/>
      <c r="F233" s="14"/>
      <c r="G233" s="15"/>
      <c r="H233" s="15"/>
      <c r="I233" s="17" t="str">
        <f aca="false">IF(OR(AND($A233="",$B233="",$C233="",$D233="",$E233="",$F233="",$G233="",$H233=""),NOT($S233="")),"",ROUND($C233*($D233+$E233)/60,4))</f>
        <v/>
      </c>
      <c r="J233" s="18" t="str">
        <f aca="false">IF(OR(AND($A233="",$B233="",$C233="",$D233="",$E233="",$F233="",$G233="",$H233=""),NOT($S233="")),"",ROUND(ROUND($C233*($D233+$E233)/60*$B$5,9),2))</f>
        <v/>
      </c>
      <c r="K233" s="18" t="str">
        <f aca="false">IF(OR(AND($A233="",$B233="",$C233="",$D233="",$E233="",$F233="",$G233="",$H233=""),NOT($S233="")),"",ROUND(ROUND($C233*$F233*$B$6,9),2))</f>
        <v/>
      </c>
      <c r="L233" s="18" t="str">
        <f aca="false">IF(OR(AND($A233="",$B233="",$C233="",$D233="",$E233="",$F233="",$G233="",$H233=""),NOT($S233="")),"",ROUND(ROUND($C233*$G233,9),2))</f>
        <v/>
      </c>
      <c r="M233" s="19" t="str">
        <f aca="false">IF(OR(AND($A233="",$B233="",$C233="",$D233="",$E233="",$F233="",$G233="",$H233=""),NOT($S233="")),"",ROUND($J233+$K233+$L233+$H233,2))</f>
        <v/>
      </c>
      <c r="N233" s="19" t="str">
        <f aca="false">IF(OR(AND($A233="",$B233="",$C233="",$D233="",$E233="",$F233="",$G233="",$H233=""),NOT($S233="")),"",ROUND($B233-$M233,2))</f>
        <v/>
      </c>
      <c r="O233" s="20" t="str">
        <f aca="false">IF(OR(AND($A233="",$B233="",$C233="",$D233="",$E233="",$F233="",$G233="",$H233=""),NOT($S233="")),"",IF($B233=0,"n/a",INT(ROUND($N233/$B233*10000,6))/10000))</f>
        <v/>
      </c>
      <c r="P233" s="18" t="str">
        <f aca="false">IF(OR(AND($A233="",$B233="",$C233="",$D233="",$E233="",$F233="",$G233="",$H233=""),NOT($S233="")),"",ROUNDUP(ROUND($M233*10000/(10000-TargetH),9),2))</f>
        <v/>
      </c>
      <c r="Q233" s="18" t="str">
        <f aca="false">IF(OR(AND($A233="",$B233="",$C233="",$D233="",$E233="",$F233="",$G233="",$H233=""),NOT($S233="")),"",MAX(0,ROUND($P233-$B233,2)))</f>
        <v/>
      </c>
      <c r="R233" s="21" t="str">
        <f aca="false">IF(AND($A233="",$B233="",$C233="",$D233="",$E233="",$F233="",$G233="",$H233=""),"",IF(NOT($S233=""),"Check inputs",IF($B233=0,"No fee entered",IF($N233&lt;0,"Losing money on entered costs",IF(ROUND($N233*100,0)*10000&lt;TargetH*ROUND($B233*100,0),"Below your target","Meets your target")))))</f>
        <v/>
      </c>
      <c r="S233" s="22" t="str">
        <f aca="false">IF(AND($A233="",$B233="",$C233="",$D233="",$E233="",$F233="",$G233="",$H233=""),"",TRIM(IF($A233="","Customer/site label is missing. ","")&amp;IF($B233="","Monthly fee is missing. ",IF(NOT(ISNUMBER($B233)),"Monthly fee must be a number. ",IF($B233&lt;0,"Monthly fee can't be negative. ",IF(ROUND($B233,2)&lt;&gt;$B233,"Monthly fee: use up to 2 decimal places. ",IF($B233&gt;99999.99,"Monthly fee: use 99,999.99 or less. ","")))))&amp;IF($C233="","Visits per month is missing. ",IF(NOT(ISNUMBER($C233)),"Visits per month must be a number. ",IF($C233&lt;0,"Visits per month can't be negative. ",IF(ROUND($C233,3)&lt;&gt;$C233,"Visits per month: use up to 3 decimal places. ",IF($C233=0,"Visits per month must be more than 0. ",IF($C233&gt;31,"Visits per month: use 31 or less. ",""))))))&amp;IF($D233="","Service minutes per visit is missing. ",IF(NOT(ISNUMBER($D233)),"Service minutes per visit must be a number. ",IF($D233&lt;0,"Service minutes per visit can't be negative. ",IF(ROUND($D233,2)&lt;&gt;$D233,"Service minutes per visit: use up to 2 decimal places. ",IF($D233=0,"Service minutes per visit must be more than 0. ",IF($D233&gt;600,"Service minutes per visit: use 600 or less. ",""))))))&amp;IF($E233="","Drive minutes per visit is missing. ",IF(NOT(ISNUMBER($E233)),"Drive minutes per visit must be a number. ",IF($E233&lt;0,"Drive minutes per visit can't be negative. ",IF(ROUND($E233,2)&lt;&gt;$E233,"Drive minutes per visit: use up to 2 decimal places. ",IF($E233&gt;600,"Drive minutes per visit: use 600 or less. ","")))))&amp;IF($F233="","Drive miles per visit is missing. ",IF(NOT(ISNUMBER($F233)),"Drive miles per visit must be a number. ",IF($F233&lt;0,"Drive miles per visit can't be negative. ",IF(ROUND($F233,2)&lt;&gt;$F233,"Drive miles per visit: use up to 2 decimal places. ",IF($F233&gt;1000,"Drive miles per visit: use 1,000 or less. ","")))))&amp;IF($G233="","Chemicals per visit is missing. ",IF(NOT(ISNUMBER($G233)),"Chemicals per visit must be a number. ",IF($G233&lt;0,"Chemicals per visit can't be negative. ",IF(ROUND($G233,2)&lt;&gt;$G233,"Chemicals per visit: use up to 2 decimal places. ",IF($G233&gt;9999.99,"Chemicals per visit: use 9,999.99 or less. ","")))))&amp;IF($H233="","Other monthly costs is missing. ",IF(NOT(ISNUMBER($H233)),"Other monthly costs must be a number. ",IF($H233&lt;0,"Other monthly costs can't be negative. ",IF(ROUND($H233,2)&lt;&gt;$H233,"Other monthly costs: use up to 2 decimal places. ",IF($H233&gt;99999.99,"Other monthly costs: use 99,999.99 or less. ","")))))&amp;IF(SettingsOK,"","Settings incomplete.")))</f>
        <v/>
      </c>
      <c r="T233" s="23" t="str">
        <f aca="false">IF(AND($A233="",$B233="",$C233="",$D233="",$E233="",$F233="",$G233="",$H233=""),"",IF(Review!$B$5="Check inputs",IF($R233="Check inputs",ROW(),""),IF($R233="Check inputs",IF(Review!$B$5="All accounts",-2000000000000000+ROW(),""),IF(AND(Review!$B$5="Needs review",$R233="Meets your target"),"",IF($R233="No fee entered",-1000000000000000+ROW(),$N233/$B233+ROW()/1000000000)))))</f>
        <v/>
      </c>
    </row>
    <row r="234" customFormat="false" ht="15" hidden="false" customHeight="false" outlineLevel="0" collapsed="false">
      <c r="A234" s="14"/>
      <c r="B234" s="15"/>
      <c r="C234" s="16"/>
      <c r="D234" s="14"/>
      <c r="E234" s="14"/>
      <c r="F234" s="14"/>
      <c r="G234" s="15"/>
      <c r="H234" s="15"/>
      <c r="I234" s="17" t="str">
        <f aca="false">IF(OR(AND($A234="",$B234="",$C234="",$D234="",$E234="",$F234="",$G234="",$H234=""),NOT($S234="")),"",ROUND($C234*($D234+$E234)/60,4))</f>
        <v/>
      </c>
      <c r="J234" s="18" t="str">
        <f aca="false">IF(OR(AND($A234="",$B234="",$C234="",$D234="",$E234="",$F234="",$G234="",$H234=""),NOT($S234="")),"",ROUND(ROUND($C234*($D234+$E234)/60*$B$5,9),2))</f>
        <v/>
      </c>
      <c r="K234" s="18" t="str">
        <f aca="false">IF(OR(AND($A234="",$B234="",$C234="",$D234="",$E234="",$F234="",$G234="",$H234=""),NOT($S234="")),"",ROUND(ROUND($C234*$F234*$B$6,9),2))</f>
        <v/>
      </c>
      <c r="L234" s="18" t="str">
        <f aca="false">IF(OR(AND($A234="",$B234="",$C234="",$D234="",$E234="",$F234="",$G234="",$H234=""),NOT($S234="")),"",ROUND(ROUND($C234*$G234,9),2))</f>
        <v/>
      </c>
      <c r="M234" s="19" t="str">
        <f aca="false">IF(OR(AND($A234="",$B234="",$C234="",$D234="",$E234="",$F234="",$G234="",$H234=""),NOT($S234="")),"",ROUND($J234+$K234+$L234+$H234,2))</f>
        <v/>
      </c>
      <c r="N234" s="19" t="str">
        <f aca="false">IF(OR(AND($A234="",$B234="",$C234="",$D234="",$E234="",$F234="",$G234="",$H234=""),NOT($S234="")),"",ROUND($B234-$M234,2))</f>
        <v/>
      </c>
      <c r="O234" s="20" t="str">
        <f aca="false">IF(OR(AND($A234="",$B234="",$C234="",$D234="",$E234="",$F234="",$G234="",$H234=""),NOT($S234="")),"",IF($B234=0,"n/a",INT(ROUND($N234/$B234*10000,6))/10000))</f>
        <v/>
      </c>
      <c r="P234" s="18" t="str">
        <f aca="false">IF(OR(AND($A234="",$B234="",$C234="",$D234="",$E234="",$F234="",$G234="",$H234=""),NOT($S234="")),"",ROUNDUP(ROUND($M234*10000/(10000-TargetH),9),2))</f>
        <v/>
      </c>
      <c r="Q234" s="18" t="str">
        <f aca="false">IF(OR(AND($A234="",$B234="",$C234="",$D234="",$E234="",$F234="",$G234="",$H234=""),NOT($S234="")),"",MAX(0,ROUND($P234-$B234,2)))</f>
        <v/>
      </c>
      <c r="R234" s="21" t="str">
        <f aca="false">IF(AND($A234="",$B234="",$C234="",$D234="",$E234="",$F234="",$G234="",$H234=""),"",IF(NOT($S234=""),"Check inputs",IF($B234=0,"No fee entered",IF($N234&lt;0,"Losing money on entered costs",IF(ROUND($N234*100,0)*10000&lt;TargetH*ROUND($B234*100,0),"Below your target","Meets your target")))))</f>
        <v/>
      </c>
      <c r="S234" s="22" t="str">
        <f aca="false">IF(AND($A234="",$B234="",$C234="",$D234="",$E234="",$F234="",$G234="",$H234=""),"",TRIM(IF($A234="","Customer/site label is missing. ","")&amp;IF($B234="","Monthly fee is missing. ",IF(NOT(ISNUMBER($B234)),"Monthly fee must be a number. ",IF($B234&lt;0,"Monthly fee can't be negative. ",IF(ROUND($B234,2)&lt;&gt;$B234,"Monthly fee: use up to 2 decimal places. ",IF($B234&gt;99999.99,"Monthly fee: use 99,999.99 or less. ","")))))&amp;IF($C234="","Visits per month is missing. ",IF(NOT(ISNUMBER($C234)),"Visits per month must be a number. ",IF($C234&lt;0,"Visits per month can't be negative. ",IF(ROUND($C234,3)&lt;&gt;$C234,"Visits per month: use up to 3 decimal places. ",IF($C234=0,"Visits per month must be more than 0. ",IF($C234&gt;31,"Visits per month: use 31 or less. ",""))))))&amp;IF($D234="","Service minutes per visit is missing. ",IF(NOT(ISNUMBER($D234)),"Service minutes per visit must be a number. ",IF($D234&lt;0,"Service minutes per visit can't be negative. ",IF(ROUND($D234,2)&lt;&gt;$D234,"Service minutes per visit: use up to 2 decimal places. ",IF($D234=0,"Service minutes per visit must be more than 0. ",IF($D234&gt;600,"Service minutes per visit: use 600 or less. ",""))))))&amp;IF($E234="","Drive minutes per visit is missing. ",IF(NOT(ISNUMBER($E234)),"Drive minutes per visit must be a number. ",IF($E234&lt;0,"Drive minutes per visit can't be negative. ",IF(ROUND($E234,2)&lt;&gt;$E234,"Drive minutes per visit: use up to 2 decimal places. ",IF($E234&gt;600,"Drive minutes per visit: use 600 or less. ","")))))&amp;IF($F234="","Drive miles per visit is missing. ",IF(NOT(ISNUMBER($F234)),"Drive miles per visit must be a number. ",IF($F234&lt;0,"Drive miles per visit can't be negative. ",IF(ROUND($F234,2)&lt;&gt;$F234,"Drive miles per visit: use up to 2 decimal places. ",IF($F234&gt;1000,"Drive miles per visit: use 1,000 or less. ","")))))&amp;IF($G234="","Chemicals per visit is missing. ",IF(NOT(ISNUMBER($G234)),"Chemicals per visit must be a number. ",IF($G234&lt;0,"Chemicals per visit can't be negative. ",IF(ROUND($G234,2)&lt;&gt;$G234,"Chemicals per visit: use up to 2 decimal places. ",IF($G234&gt;9999.99,"Chemicals per visit: use 9,999.99 or less. ","")))))&amp;IF($H234="","Other monthly costs is missing. ",IF(NOT(ISNUMBER($H234)),"Other monthly costs must be a number. ",IF($H234&lt;0,"Other monthly costs can't be negative. ",IF(ROUND($H234,2)&lt;&gt;$H234,"Other monthly costs: use up to 2 decimal places. ",IF($H234&gt;99999.99,"Other monthly costs: use 99,999.99 or less. ","")))))&amp;IF(SettingsOK,"","Settings incomplete.")))</f>
        <v/>
      </c>
      <c r="T234" s="23" t="str">
        <f aca="false">IF(AND($A234="",$B234="",$C234="",$D234="",$E234="",$F234="",$G234="",$H234=""),"",IF(Review!$B$5="Check inputs",IF($R234="Check inputs",ROW(),""),IF($R234="Check inputs",IF(Review!$B$5="All accounts",-2000000000000000+ROW(),""),IF(AND(Review!$B$5="Needs review",$R234="Meets your target"),"",IF($R234="No fee entered",-1000000000000000+ROW(),$N234/$B234+ROW()/1000000000)))))</f>
        <v/>
      </c>
    </row>
    <row r="235" customFormat="false" ht="15" hidden="false" customHeight="false" outlineLevel="0" collapsed="false">
      <c r="A235" s="14"/>
      <c r="B235" s="15"/>
      <c r="C235" s="16"/>
      <c r="D235" s="14"/>
      <c r="E235" s="14"/>
      <c r="F235" s="14"/>
      <c r="G235" s="15"/>
      <c r="H235" s="15"/>
      <c r="I235" s="17" t="str">
        <f aca="false">IF(OR(AND($A235="",$B235="",$C235="",$D235="",$E235="",$F235="",$G235="",$H235=""),NOT($S235="")),"",ROUND($C235*($D235+$E235)/60,4))</f>
        <v/>
      </c>
      <c r="J235" s="18" t="str">
        <f aca="false">IF(OR(AND($A235="",$B235="",$C235="",$D235="",$E235="",$F235="",$G235="",$H235=""),NOT($S235="")),"",ROUND(ROUND($C235*($D235+$E235)/60*$B$5,9),2))</f>
        <v/>
      </c>
      <c r="K235" s="18" t="str">
        <f aca="false">IF(OR(AND($A235="",$B235="",$C235="",$D235="",$E235="",$F235="",$G235="",$H235=""),NOT($S235="")),"",ROUND(ROUND($C235*$F235*$B$6,9),2))</f>
        <v/>
      </c>
      <c r="L235" s="18" t="str">
        <f aca="false">IF(OR(AND($A235="",$B235="",$C235="",$D235="",$E235="",$F235="",$G235="",$H235=""),NOT($S235="")),"",ROUND(ROUND($C235*$G235,9),2))</f>
        <v/>
      </c>
      <c r="M235" s="19" t="str">
        <f aca="false">IF(OR(AND($A235="",$B235="",$C235="",$D235="",$E235="",$F235="",$G235="",$H235=""),NOT($S235="")),"",ROUND($J235+$K235+$L235+$H235,2))</f>
        <v/>
      </c>
      <c r="N235" s="19" t="str">
        <f aca="false">IF(OR(AND($A235="",$B235="",$C235="",$D235="",$E235="",$F235="",$G235="",$H235=""),NOT($S235="")),"",ROUND($B235-$M235,2))</f>
        <v/>
      </c>
      <c r="O235" s="20" t="str">
        <f aca="false">IF(OR(AND($A235="",$B235="",$C235="",$D235="",$E235="",$F235="",$G235="",$H235=""),NOT($S235="")),"",IF($B235=0,"n/a",INT(ROUND($N235/$B235*10000,6))/10000))</f>
        <v/>
      </c>
      <c r="P235" s="18" t="str">
        <f aca="false">IF(OR(AND($A235="",$B235="",$C235="",$D235="",$E235="",$F235="",$G235="",$H235=""),NOT($S235="")),"",ROUNDUP(ROUND($M235*10000/(10000-TargetH),9),2))</f>
        <v/>
      </c>
      <c r="Q235" s="18" t="str">
        <f aca="false">IF(OR(AND($A235="",$B235="",$C235="",$D235="",$E235="",$F235="",$G235="",$H235=""),NOT($S235="")),"",MAX(0,ROUND($P235-$B235,2)))</f>
        <v/>
      </c>
      <c r="R235" s="21" t="str">
        <f aca="false">IF(AND($A235="",$B235="",$C235="",$D235="",$E235="",$F235="",$G235="",$H235=""),"",IF(NOT($S235=""),"Check inputs",IF($B235=0,"No fee entered",IF($N235&lt;0,"Losing money on entered costs",IF(ROUND($N235*100,0)*10000&lt;TargetH*ROUND($B235*100,0),"Below your target","Meets your target")))))</f>
        <v/>
      </c>
      <c r="S235" s="22" t="str">
        <f aca="false">IF(AND($A235="",$B235="",$C235="",$D235="",$E235="",$F235="",$G235="",$H235=""),"",TRIM(IF($A235="","Customer/site label is missing. ","")&amp;IF($B235="","Monthly fee is missing. ",IF(NOT(ISNUMBER($B235)),"Monthly fee must be a number. ",IF($B235&lt;0,"Monthly fee can't be negative. ",IF(ROUND($B235,2)&lt;&gt;$B235,"Monthly fee: use up to 2 decimal places. ",IF($B235&gt;99999.99,"Monthly fee: use 99,999.99 or less. ","")))))&amp;IF($C235="","Visits per month is missing. ",IF(NOT(ISNUMBER($C235)),"Visits per month must be a number. ",IF($C235&lt;0,"Visits per month can't be negative. ",IF(ROUND($C235,3)&lt;&gt;$C235,"Visits per month: use up to 3 decimal places. ",IF($C235=0,"Visits per month must be more than 0. ",IF($C235&gt;31,"Visits per month: use 31 or less. ",""))))))&amp;IF($D235="","Service minutes per visit is missing. ",IF(NOT(ISNUMBER($D235)),"Service minutes per visit must be a number. ",IF($D235&lt;0,"Service minutes per visit can't be negative. ",IF(ROUND($D235,2)&lt;&gt;$D235,"Service minutes per visit: use up to 2 decimal places. ",IF($D235=0,"Service minutes per visit must be more than 0. ",IF($D235&gt;600,"Service minutes per visit: use 600 or less. ",""))))))&amp;IF($E235="","Drive minutes per visit is missing. ",IF(NOT(ISNUMBER($E235)),"Drive minutes per visit must be a number. ",IF($E235&lt;0,"Drive minutes per visit can't be negative. ",IF(ROUND($E235,2)&lt;&gt;$E235,"Drive minutes per visit: use up to 2 decimal places. ",IF($E235&gt;600,"Drive minutes per visit: use 600 or less. ","")))))&amp;IF($F235="","Drive miles per visit is missing. ",IF(NOT(ISNUMBER($F235)),"Drive miles per visit must be a number. ",IF($F235&lt;0,"Drive miles per visit can't be negative. ",IF(ROUND($F235,2)&lt;&gt;$F235,"Drive miles per visit: use up to 2 decimal places. ",IF($F235&gt;1000,"Drive miles per visit: use 1,000 or less. ","")))))&amp;IF($G235="","Chemicals per visit is missing. ",IF(NOT(ISNUMBER($G235)),"Chemicals per visit must be a number. ",IF($G235&lt;0,"Chemicals per visit can't be negative. ",IF(ROUND($G235,2)&lt;&gt;$G235,"Chemicals per visit: use up to 2 decimal places. ",IF($G235&gt;9999.99,"Chemicals per visit: use 9,999.99 or less. ","")))))&amp;IF($H235="","Other monthly costs is missing. ",IF(NOT(ISNUMBER($H235)),"Other monthly costs must be a number. ",IF($H235&lt;0,"Other monthly costs can't be negative. ",IF(ROUND($H235,2)&lt;&gt;$H235,"Other monthly costs: use up to 2 decimal places. ",IF($H235&gt;99999.99,"Other monthly costs: use 99,999.99 or less. ","")))))&amp;IF(SettingsOK,"","Settings incomplete.")))</f>
        <v/>
      </c>
      <c r="T235" s="23" t="str">
        <f aca="false">IF(AND($A235="",$B235="",$C235="",$D235="",$E235="",$F235="",$G235="",$H235=""),"",IF(Review!$B$5="Check inputs",IF($R235="Check inputs",ROW(),""),IF($R235="Check inputs",IF(Review!$B$5="All accounts",-2000000000000000+ROW(),""),IF(AND(Review!$B$5="Needs review",$R235="Meets your target"),"",IF($R235="No fee entered",-1000000000000000+ROW(),$N235/$B235+ROW()/1000000000)))))</f>
        <v/>
      </c>
    </row>
    <row r="236" customFormat="false" ht="15" hidden="false" customHeight="false" outlineLevel="0" collapsed="false">
      <c r="A236" s="14"/>
      <c r="B236" s="15"/>
      <c r="C236" s="16"/>
      <c r="D236" s="14"/>
      <c r="E236" s="14"/>
      <c r="F236" s="14"/>
      <c r="G236" s="15"/>
      <c r="H236" s="15"/>
      <c r="I236" s="17" t="str">
        <f aca="false">IF(OR(AND($A236="",$B236="",$C236="",$D236="",$E236="",$F236="",$G236="",$H236=""),NOT($S236="")),"",ROUND($C236*($D236+$E236)/60,4))</f>
        <v/>
      </c>
      <c r="J236" s="18" t="str">
        <f aca="false">IF(OR(AND($A236="",$B236="",$C236="",$D236="",$E236="",$F236="",$G236="",$H236=""),NOT($S236="")),"",ROUND(ROUND($C236*($D236+$E236)/60*$B$5,9),2))</f>
        <v/>
      </c>
      <c r="K236" s="18" t="str">
        <f aca="false">IF(OR(AND($A236="",$B236="",$C236="",$D236="",$E236="",$F236="",$G236="",$H236=""),NOT($S236="")),"",ROUND(ROUND($C236*$F236*$B$6,9),2))</f>
        <v/>
      </c>
      <c r="L236" s="18" t="str">
        <f aca="false">IF(OR(AND($A236="",$B236="",$C236="",$D236="",$E236="",$F236="",$G236="",$H236=""),NOT($S236="")),"",ROUND(ROUND($C236*$G236,9),2))</f>
        <v/>
      </c>
      <c r="M236" s="19" t="str">
        <f aca="false">IF(OR(AND($A236="",$B236="",$C236="",$D236="",$E236="",$F236="",$G236="",$H236=""),NOT($S236="")),"",ROUND($J236+$K236+$L236+$H236,2))</f>
        <v/>
      </c>
      <c r="N236" s="19" t="str">
        <f aca="false">IF(OR(AND($A236="",$B236="",$C236="",$D236="",$E236="",$F236="",$G236="",$H236=""),NOT($S236="")),"",ROUND($B236-$M236,2))</f>
        <v/>
      </c>
      <c r="O236" s="20" t="str">
        <f aca="false">IF(OR(AND($A236="",$B236="",$C236="",$D236="",$E236="",$F236="",$G236="",$H236=""),NOT($S236="")),"",IF($B236=0,"n/a",INT(ROUND($N236/$B236*10000,6))/10000))</f>
        <v/>
      </c>
      <c r="P236" s="18" t="str">
        <f aca="false">IF(OR(AND($A236="",$B236="",$C236="",$D236="",$E236="",$F236="",$G236="",$H236=""),NOT($S236="")),"",ROUNDUP(ROUND($M236*10000/(10000-TargetH),9),2))</f>
        <v/>
      </c>
      <c r="Q236" s="18" t="str">
        <f aca="false">IF(OR(AND($A236="",$B236="",$C236="",$D236="",$E236="",$F236="",$G236="",$H236=""),NOT($S236="")),"",MAX(0,ROUND($P236-$B236,2)))</f>
        <v/>
      </c>
      <c r="R236" s="21" t="str">
        <f aca="false">IF(AND($A236="",$B236="",$C236="",$D236="",$E236="",$F236="",$G236="",$H236=""),"",IF(NOT($S236=""),"Check inputs",IF($B236=0,"No fee entered",IF($N236&lt;0,"Losing money on entered costs",IF(ROUND($N236*100,0)*10000&lt;TargetH*ROUND($B236*100,0),"Below your target","Meets your target")))))</f>
        <v/>
      </c>
      <c r="S236" s="22" t="str">
        <f aca="false">IF(AND($A236="",$B236="",$C236="",$D236="",$E236="",$F236="",$G236="",$H236=""),"",TRIM(IF($A236="","Customer/site label is missing. ","")&amp;IF($B236="","Monthly fee is missing. ",IF(NOT(ISNUMBER($B236)),"Monthly fee must be a number. ",IF($B236&lt;0,"Monthly fee can't be negative. ",IF(ROUND($B236,2)&lt;&gt;$B236,"Monthly fee: use up to 2 decimal places. ",IF($B236&gt;99999.99,"Monthly fee: use 99,999.99 or less. ","")))))&amp;IF($C236="","Visits per month is missing. ",IF(NOT(ISNUMBER($C236)),"Visits per month must be a number. ",IF($C236&lt;0,"Visits per month can't be negative. ",IF(ROUND($C236,3)&lt;&gt;$C236,"Visits per month: use up to 3 decimal places. ",IF($C236=0,"Visits per month must be more than 0. ",IF($C236&gt;31,"Visits per month: use 31 or less. ",""))))))&amp;IF($D236="","Service minutes per visit is missing. ",IF(NOT(ISNUMBER($D236)),"Service minutes per visit must be a number. ",IF($D236&lt;0,"Service minutes per visit can't be negative. ",IF(ROUND($D236,2)&lt;&gt;$D236,"Service minutes per visit: use up to 2 decimal places. ",IF($D236=0,"Service minutes per visit must be more than 0. ",IF($D236&gt;600,"Service minutes per visit: use 600 or less. ",""))))))&amp;IF($E236="","Drive minutes per visit is missing. ",IF(NOT(ISNUMBER($E236)),"Drive minutes per visit must be a number. ",IF($E236&lt;0,"Drive minutes per visit can't be negative. ",IF(ROUND($E236,2)&lt;&gt;$E236,"Drive minutes per visit: use up to 2 decimal places. ",IF($E236&gt;600,"Drive minutes per visit: use 600 or less. ","")))))&amp;IF($F236="","Drive miles per visit is missing. ",IF(NOT(ISNUMBER($F236)),"Drive miles per visit must be a number. ",IF($F236&lt;0,"Drive miles per visit can't be negative. ",IF(ROUND($F236,2)&lt;&gt;$F236,"Drive miles per visit: use up to 2 decimal places. ",IF($F236&gt;1000,"Drive miles per visit: use 1,000 or less. ","")))))&amp;IF($G236="","Chemicals per visit is missing. ",IF(NOT(ISNUMBER($G236)),"Chemicals per visit must be a number. ",IF($G236&lt;0,"Chemicals per visit can't be negative. ",IF(ROUND($G236,2)&lt;&gt;$G236,"Chemicals per visit: use up to 2 decimal places. ",IF($G236&gt;9999.99,"Chemicals per visit: use 9,999.99 or less. ","")))))&amp;IF($H236="","Other monthly costs is missing. ",IF(NOT(ISNUMBER($H236)),"Other monthly costs must be a number. ",IF($H236&lt;0,"Other monthly costs can't be negative. ",IF(ROUND($H236,2)&lt;&gt;$H236,"Other monthly costs: use up to 2 decimal places. ",IF($H236&gt;99999.99,"Other monthly costs: use 99,999.99 or less. ","")))))&amp;IF(SettingsOK,"","Settings incomplete.")))</f>
        <v/>
      </c>
      <c r="T236" s="23" t="str">
        <f aca="false">IF(AND($A236="",$B236="",$C236="",$D236="",$E236="",$F236="",$G236="",$H236=""),"",IF(Review!$B$5="Check inputs",IF($R236="Check inputs",ROW(),""),IF($R236="Check inputs",IF(Review!$B$5="All accounts",-2000000000000000+ROW(),""),IF(AND(Review!$B$5="Needs review",$R236="Meets your target"),"",IF($R236="No fee entered",-1000000000000000+ROW(),$N236/$B236+ROW()/1000000000)))))</f>
        <v/>
      </c>
    </row>
    <row r="237" customFormat="false" ht="15" hidden="false" customHeight="false" outlineLevel="0" collapsed="false">
      <c r="A237" s="14"/>
      <c r="B237" s="15"/>
      <c r="C237" s="16"/>
      <c r="D237" s="14"/>
      <c r="E237" s="14"/>
      <c r="F237" s="14"/>
      <c r="G237" s="15"/>
      <c r="H237" s="15"/>
      <c r="I237" s="17" t="str">
        <f aca="false">IF(OR(AND($A237="",$B237="",$C237="",$D237="",$E237="",$F237="",$G237="",$H237=""),NOT($S237="")),"",ROUND($C237*($D237+$E237)/60,4))</f>
        <v/>
      </c>
      <c r="J237" s="18" t="str">
        <f aca="false">IF(OR(AND($A237="",$B237="",$C237="",$D237="",$E237="",$F237="",$G237="",$H237=""),NOT($S237="")),"",ROUND(ROUND($C237*($D237+$E237)/60*$B$5,9),2))</f>
        <v/>
      </c>
      <c r="K237" s="18" t="str">
        <f aca="false">IF(OR(AND($A237="",$B237="",$C237="",$D237="",$E237="",$F237="",$G237="",$H237=""),NOT($S237="")),"",ROUND(ROUND($C237*$F237*$B$6,9),2))</f>
        <v/>
      </c>
      <c r="L237" s="18" t="str">
        <f aca="false">IF(OR(AND($A237="",$B237="",$C237="",$D237="",$E237="",$F237="",$G237="",$H237=""),NOT($S237="")),"",ROUND(ROUND($C237*$G237,9),2))</f>
        <v/>
      </c>
      <c r="M237" s="19" t="str">
        <f aca="false">IF(OR(AND($A237="",$B237="",$C237="",$D237="",$E237="",$F237="",$G237="",$H237=""),NOT($S237="")),"",ROUND($J237+$K237+$L237+$H237,2))</f>
        <v/>
      </c>
      <c r="N237" s="19" t="str">
        <f aca="false">IF(OR(AND($A237="",$B237="",$C237="",$D237="",$E237="",$F237="",$G237="",$H237=""),NOT($S237="")),"",ROUND($B237-$M237,2))</f>
        <v/>
      </c>
      <c r="O237" s="20" t="str">
        <f aca="false">IF(OR(AND($A237="",$B237="",$C237="",$D237="",$E237="",$F237="",$G237="",$H237=""),NOT($S237="")),"",IF($B237=0,"n/a",INT(ROUND($N237/$B237*10000,6))/10000))</f>
        <v/>
      </c>
      <c r="P237" s="18" t="str">
        <f aca="false">IF(OR(AND($A237="",$B237="",$C237="",$D237="",$E237="",$F237="",$G237="",$H237=""),NOT($S237="")),"",ROUNDUP(ROUND($M237*10000/(10000-TargetH),9),2))</f>
        <v/>
      </c>
      <c r="Q237" s="18" t="str">
        <f aca="false">IF(OR(AND($A237="",$B237="",$C237="",$D237="",$E237="",$F237="",$G237="",$H237=""),NOT($S237="")),"",MAX(0,ROUND($P237-$B237,2)))</f>
        <v/>
      </c>
      <c r="R237" s="21" t="str">
        <f aca="false">IF(AND($A237="",$B237="",$C237="",$D237="",$E237="",$F237="",$G237="",$H237=""),"",IF(NOT($S237=""),"Check inputs",IF($B237=0,"No fee entered",IF($N237&lt;0,"Losing money on entered costs",IF(ROUND($N237*100,0)*10000&lt;TargetH*ROUND($B237*100,0),"Below your target","Meets your target")))))</f>
        <v/>
      </c>
      <c r="S237" s="22" t="str">
        <f aca="false">IF(AND($A237="",$B237="",$C237="",$D237="",$E237="",$F237="",$G237="",$H237=""),"",TRIM(IF($A237="","Customer/site label is missing. ","")&amp;IF($B237="","Monthly fee is missing. ",IF(NOT(ISNUMBER($B237)),"Monthly fee must be a number. ",IF($B237&lt;0,"Monthly fee can't be negative. ",IF(ROUND($B237,2)&lt;&gt;$B237,"Monthly fee: use up to 2 decimal places. ",IF($B237&gt;99999.99,"Monthly fee: use 99,999.99 or less. ","")))))&amp;IF($C237="","Visits per month is missing. ",IF(NOT(ISNUMBER($C237)),"Visits per month must be a number. ",IF($C237&lt;0,"Visits per month can't be negative. ",IF(ROUND($C237,3)&lt;&gt;$C237,"Visits per month: use up to 3 decimal places. ",IF($C237=0,"Visits per month must be more than 0. ",IF($C237&gt;31,"Visits per month: use 31 or less. ",""))))))&amp;IF($D237="","Service minutes per visit is missing. ",IF(NOT(ISNUMBER($D237)),"Service minutes per visit must be a number. ",IF($D237&lt;0,"Service minutes per visit can't be negative. ",IF(ROUND($D237,2)&lt;&gt;$D237,"Service minutes per visit: use up to 2 decimal places. ",IF($D237=0,"Service minutes per visit must be more than 0. ",IF($D237&gt;600,"Service minutes per visit: use 600 or less. ",""))))))&amp;IF($E237="","Drive minutes per visit is missing. ",IF(NOT(ISNUMBER($E237)),"Drive minutes per visit must be a number. ",IF($E237&lt;0,"Drive minutes per visit can't be negative. ",IF(ROUND($E237,2)&lt;&gt;$E237,"Drive minutes per visit: use up to 2 decimal places. ",IF($E237&gt;600,"Drive minutes per visit: use 600 or less. ","")))))&amp;IF($F237="","Drive miles per visit is missing. ",IF(NOT(ISNUMBER($F237)),"Drive miles per visit must be a number. ",IF($F237&lt;0,"Drive miles per visit can't be negative. ",IF(ROUND($F237,2)&lt;&gt;$F237,"Drive miles per visit: use up to 2 decimal places. ",IF($F237&gt;1000,"Drive miles per visit: use 1,000 or less. ","")))))&amp;IF($G237="","Chemicals per visit is missing. ",IF(NOT(ISNUMBER($G237)),"Chemicals per visit must be a number. ",IF($G237&lt;0,"Chemicals per visit can't be negative. ",IF(ROUND($G237,2)&lt;&gt;$G237,"Chemicals per visit: use up to 2 decimal places. ",IF($G237&gt;9999.99,"Chemicals per visit: use 9,999.99 or less. ","")))))&amp;IF($H237="","Other monthly costs is missing. ",IF(NOT(ISNUMBER($H237)),"Other monthly costs must be a number. ",IF($H237&lt;0,"Other monthly costs can't be negative. ",IF(ROUND($H237,2)&lt;&gt;$H237,"Other monthly costs: use up to 2 decimal places. ",IF($H237&gt;99999.99,"Other monthly costs: use 99,999.99 or less. ","")))))&amp;IF(SettingsOK,"","Settings incomplete.")))</f>
        <v/>
      </c>
      <c r="T237" s="23" t="str">
        <f aca="false">IF(AND($A237="",$B237="",$C237="",$D237="",$E237="",$F237="",$G237="",$H237=""),"",IF(Review!$B$5="Check inputs",IF($R237="Check inputs",ROW(),""),IF($R237="Check inputs",IF(Review!$B$5="All accounts",-2000000000000000+ROW(),""),IF(AND(Review!$B$5="Needs review",$R237="Meets your target"),"",IF($R237="No fee entered",-1000000000000000+ROW(),$N237/$B237+ROW()/1000000000)))))</f>
        <v/>
      </c>
    </row>
    <row r="238" customFormat="false" ht="15" hidden="false" customHeight="false" outlineLevel="0" collapsed="false">
      <c r="A238" s="14"/>
      <c r="B238" s="15"/>
      <c r="C238" s="16"/>
      <c r="D238" s="14"/>
      <c r="E238" s="14"/>
      <c r="F238" s="14"/>
      <c r="G238" s="15"/>
      <c r="H238" s="15"/>
      <c r="I238" s="17" t="str">
        <f aca="false">IF(OR(AND($A238="",$B238="",$C238="",$D238="",$E238="",$F238="",$G238="",$H238=""),NOT($S238="")),"",ROUND($C238*($D238+$E238)/60,4))</f>
        <v/>
      </c>
      <c r="J238" s="18" t="str">
        <f aca="false">IF(OR(AND($A238="",$B238="",$C238="",$D238="",$E238="",$F238="",$G238="",$H238=""),NOT($S238="")),"",ROUND(ROUND($C238*($D238+$E238)/60*$B$5,9),2))</f>
        <v/>
      </c>
      <c r="K238" s="18" t="str">
        <f aca="false">IF(OR(AND($A238="",$B238="",$C238="",$D238="",$E238="",$F238="",$G238="",$H238=""),NOT($S238="")),"",ROUND(ROUND($C238*$F238*$B$6,9),2))</f>
        <v/>
      </c>
      <c r="L238" s="18" t="str">
        <f aca="false">IF(OR(AND($A238="",$B238="",$C238="",$D238="",$E238="",$F238="",$G238="",$H238=""),NOT($S238="")),"",ROUND(ROUND($C238*$G238,9),2))</f>
        <v/>
      </c>
      <c r="M238" s="19" t="str">
        <f aca="false">IF(OR(AND($A238="",$B238="",$C238="",$D238="",$E238="",$F238="",$G238="",$H238=""),NOT($S238="")),"",ROUND($J238+$K238+$L238+$H238,2))</f>
        <v/>
      </c>
      <c r="N238" s="19" t="str">
        <f aca="false">IF(OR(AND($A238="",$B238="",$C238="",$D238="",$E238="",$F238="",$G238="",$H238=""),NOT($S238="")),"",ROUND($B238-$M238,2))</f>
        <v/>
      </c>
      <c r="O238" s="20" t="str">
        <f aca="false">IF(OR(AND($A238="",$B238="",$C238="",$D238="",$E238="",$F238="",$G238="",$H238=""),NOT($S238="")),"",IF($B238=0,"n/a",INT(ROUND($N238/$B238*10000,6))/10000))</f>
        <v/>
      </c>
      <c r="P238" s="18" t="str">
        <f aca="false">IF(OR(AND($A238="",$B238="",$C238="",$D238="",$E238="",$F238="",$G238="",$H238=""),NOT($S238="")),"",ROUNDUP(ROUND($M238*10000/(10000-TargetH),9),2))</f>
        <v/>
      </c>
      <c r="Q238" s="18" t="str">
        <f aca="false">IF(OR(AND($A238="",$B238="",$C238="",$D238="",$E238="",$F238="",$G238="",$H238=""),NOT($S238="")),"",MAX(0,ROUND($P238-$B238,2)))</f>
        <v/>
      </c>
      <c r="R238" s="21" t="str">
        <f aca="false">IF(AND($A238="",$B238="",$C238="",$D238="",$E238="",$F238="",$G238="",$H238=""),"",IF(NOT($S238=""),"Check inputs",IF($B238=0,"No fee entered",IF($N238&lt;0,"Losing money on entered costs",IF(ROUND($N238*100,0)*10000&lt;TargetH*ROUND($B238*100,0),"Below your target","Meets your target")))))</f>
        <v/>
      </c>
      <c r="S238" s="22" t="str">
        <f aca="false">IF(AND($A238="",$B238="",$C238="",$D238="",$E238="",$F238="",$G238="",$H238=""),"",TRIM(IF($A238="","Customer/site label is missing. ","")&amp;IF($B238="","Monthly fee is missing. ",IF(NOT(ISNUMBER($B238)),"Monthly fee must be a number. ",IF($B238&lt;0,"Monthly fee can't be negative. ",IF(ROUND($B238,2)&lt;&gt;$B238,"Monthly fee: use up to 2 decimal places. ",IF($B238&gt;99999.99,"Monthly fee: use 99,999.99 or less. ","")))))&amp;IF($C238="","Visits per month is missing. ",IF(NOT(ISNUMBER($C238)),"Visits per month must be a number. ",IF($C238&lt;0,"Visits per month can't be negative. ",IF(ROUND($C238,3)&lt;&gt;$C238,"Visits per month: use up to 3 decimal places. ",IF($C238=0,"Visits per month must be more than 0. ",IF($C238&gt;31,"Visits per month: use 31 or less. ",""))))))&amp;IF($D238="","Service minutes per visit is missing. ",IF(NOT(ISNUMBER($D238)),"Service minutes per visit must be a number. ",IF($D238&lt;0,"Service minutes per visit can't be negative. ",IF(ROUND($D238,2)&lt;&gt;$D238,"Service minutes per visit: use up to 2 decimal places. ",IF($D238=0,"Service minutes per visit must be more than 0. ",IF($D238&gt;600,"Service minutes per visit: use 600 or less. ",""))))))&amp;IF($E238="","Drive minutes per visit is missing. ",IF(NOT(ISNUMBER($E238)),"Drive minutes per visit must be a number. ",IF($E238&lt;0,"Drive minutes per visit can't be negative. ",IF(ROUND($E238,2)&lt;&gt;$E238,"Drive minutes per visit: use up to 2 decimal places. ",IF($E238&gt;600,"Drive minutes per visit: use 600 or less. ","")))))&amp;IF($F238="","Drive miles per visit is missing. ",IF(NOT(ISNUMBER($F238)),"Drive miles per visit must be a number. ",IF($F238&lt;0,"Drive miles per visit can't be negative. ",IF(ROUND($F238,2)&lt;&gt;$F238,"Drive miles per visit: use up to 2 decimal places. ",IF($F238&gt;1000,"Drive miles per visit: use 1,000 or less. ","")))))&amp;IF($G238="","Chemicals per visit is missing. ",IF(NOT(ISNUMBER($G238)),"Chemicals per visit must be a number. ",IF($G238&lt;0,"Chemicals per visit can't be negative. ",IF(ROUND($G238,2)&lt;&gt;$G238,"Chemicals per visit: use up to 2 decimal places. ",IF($G238&gt;9999.99,"Chemicals per visit: use 9,999.99 or less. ","")))))&amp;IF($H238="","Other monthly costs is missing. ",IF(NOT(ISNUMBER($H238)),"Other monthly costs must be a number. ",IF($H238&lt;0,"Other monthly costs can't be negative. ",IF(ROUND($H238,2)&lt;&gt;$H238,"Other monthly costs: use up to 2 decimal places. ",IF($H238&gt;99999.99,"Other monthly costs: use 99,999.99 or less. ","")))))&amp;IF(SettingsOK,"","Settings incomplete.")))</f>
        <v/>
      </c>
      <c r="T238" s="23" t="str">
        <f aca="false">IF(AND($A238="",$B238="",$C238="",$D238="",$E238="",$F238="",$G238="",$H238=""),"",IF(Review!$B$5="Check inputs",IF($R238="Check inputs",ROW(),""),IF($R238="Check inputs",IF(Review!$B$5="All accounts",-2000000000000000+ROW(),""),IF(AND(Review!$B$5="Needs review",$R238="Meets your target"),"",IF($R238="No fee entered",-1000000000000000+ROW(),$N238/$B238+ROW()/1000000000)))))</f>
        <v/>
      </c>
    </row>
    <row r="239" customFormat="false" ht="15" hidden="false" customHeight="false" outlineLevel="0" collapsed="false">
      <c r="A239" s="14"/>
      <c r="B239" s="15"/>
      <c r="C239" s="16"/>
      <c r="D239" s="14"/>
      <c r="E239" s="14"/>
      <c r="F239" s="14"/>
      <c r="G239" s="15"/>
      <c r="H239" s="15"/>
      <c r="I239" s="17" t="str">
        <f aca="false">IF(OR(AND($A239="",$B239="",$C239="",$D239="",$E239="",$F239="",$G239="",$H239=""),NOT($S239="")),"",ROUND($C239*($D239+$E239)/60,4))</f>
        <v/>
      </c>
      <c r="J239" s="18" t="str">
        <f aca="false">IF(OR(AND($A239="",$B239="",$C239="",$D239="",$E239="",$F239="",$G239="",$H239=""),NOT($S239="")),"",ROUND(ROUND($C239*($D239+$E239)/60*$B$5,9),2))</f>
        <v/>
      </c>
      <c r="K239" s="18" t="str">
        <f aca="false">IF(OR(AND($A239="",$B239="",$C239="",$D239="",$E239="",$F239="",$G239="",$H239=""),NOT($S239="")),"",ROUND(ROUND($C239*$F239*$B$6,9),2))</f>
        <v/>
      </c>
      <c r="L239" s="18" t="str">
        <f aca="false">IF(OR(AND($A239="",$B239="",$C239="",$D239="",$E239="",$F239="",$G239="",$H239=""),NOT($S239="")),"",ROUND(ROUND($C239*$G239,9),2))</f>
        <v/>
      </c>
      <c r="M239" s="19" t="str">
        <f aca="false">IF(OR(AND($A239="",$B239="",$C239="",$D239="",$E239="",$F239="",$G239="",$H239=""),NOT($S239="")),"",ROUND($J239+$K239+$L239+$H239,2))</f>
        <v/>
      </c>
      <c r="N239" s="19" t="str">
        <f aca="false">IF(OR(AND($A239="",$B239="",$C239="",$D239="",$E239="",$F239="",$G239="",$H239=""),NOT($S239="")),"",ROUND($B239-$M239,2))</f>
        <v/>
      </c>
      <c r="O239" s="20" t="str">
        <f aca="false">IF(OR(AND($A239="",$B239="",$C239="",$D239="",$E239="",$F239="",$G239="",$H239=""),NOT($S239="")),"",IF($B239=0,"n/a",INT(ROUND($N239/$B239*10000,6))/10000))</f>
        <v/>
      </c>
      <c r="P239" s="18" t="str">
        <f aca="false">IF(OR(AND($A239="",$B239="",$C239="",$D239="",$E239="",$F239="",$G239="",$H239=""),NOT($S239="")),"",ROUNDUP(ROUND($M239*10000/(10000-TargetH),9),2))</f>
        <v/>
      </c>
      <c r="Q239" s="18" t="str">
        <f aca="false">IF(OR(AND($A239="",$B239="",$C239="",$D239="",$E239="",$F239="",$G239="",$H239=""),NOT($S239="")),"",MAX(0,ROUND($P239-$B239,2)))</f>
        <v/>
      </c>
      <c r="R239" s="21" t="str">
        <f aca="false">IF(AND($A239="",$B239="",$C239="",$D239="",$E239="",$F239="",$G239="",$H239=""),"",IF(NOT($S239=""),"Check inputs",IF($B239=0,"No fee entered",IF($N239&lt;0,"Losing money on entered costs",IF(ROUND($N239*100,0)*10000&lt;TargetH*ROUND($B239*100,0),"Below your target","Meets your target")))))</f>
        <v/>
      </c>
      <c r="S239" s="22" t="str">
        <f aca="false">IF(AND($A239="",$B239="",$C239="",$D239="",$E239="",$F239="",$G239="",$H239=""),"",TRIM(IF($A239="","Customer/site label is missing. ","")&amp;IF($B239="","Monthly fee is missing. ",IF(NOT(ISNUMBER($B239)),"Monthly fee must be a number. ",IF($B239&lt;0,"Monthly fee can't be negative. ",IF(ROUND($B239,2)&lt;&gt;$B239,"Monthly fee: use up to 2 decimal places. ",IF($B239&gt;99999.99,"Monthly fee: use 99,999.99 or less. ","")))))&amp;IF($C239="","Visits per month is missing. ",IF(NOT(ISNUMBER($C239)),"Visits per month must be a number. ",IF($C239&lt;0,"Visits per month can't be negative. ",IF(ROUND($C239,3)&lt;&gt;$C239,"Visits per month: use up to 3 decimal places. ",IF($C239=0,"Visits per month must be more than 0. ",IF($C239&gt;31,"Visits per month: use 31 or less. ",""))))))&amp;IF($D239="","Service minutes per visit is missing. ",IF(NOT(ISNUMBER($D239)),"Service minutes per visit must be a number. ",IF($D239&lt;0,"Service minutes per visit can't be negative. ",IF(ROUND($D239,2)&lt;&gt;$D239,"Service minutes per visit: use up to 2 decimal places. ",IF($D239=0,"Service minutes per visit must be more than 0. ",IF($D239&gt;600,"Service minutes per visit: use 600 or less. ",""))))))&amp;IF($E239="","Drive minutes per visit is missing. ",IF(NOT(ISNUMBER($E239)),"Drive minutes per visit must be a number. ",IF($E239&lt;0,"Drive minutes per visit can't be negative. ",IF(ROUND($E239,2)&lt;&gt;$E239,"Drive minutes per visit: use up to 2 decimal places. ",IF($E239&gt;600,"Drive minutes per visit: use 600 or less. ","")))))&amp;IF($F239="","Drive miles per visit is missing. ",IF(NOT(ISNUMBER($F239)),"Drive miles per visit must be a number. ",IF($F239&lt;0,"Drive miles per visit can't be negative. ",IF(ROUND($F239,2)&lt;&gt;$F239,"Drive miles per visit: use up to 2 decimal places. ",IF($F239&gt;1000,"Drive miles per visit: use 1,000 or less. ","")))))&amp;IF($G239="","Chemicals per visit is missing. ",IF(NOT(ISNUMBER($G239)),"Chemicals per visit must be a number. ",IF($G239&lt;0,"Chemicals per visit can't be negative. ",IF(ROUND($G239,2)&lt;&gt;$G239,"Chemicals per visit: use up to 2 decimal places. ",IF($G239&gt;9999.99,"Chemicals per visit: use 9,999.99 or less. ","")))))&amp;IF($H239="","Other monthly costs is missing. ",IF(NOT(ISNUMBER($H239)),"Other monthly costs must be a number. ",IF($H239&lt;0,"Other monthly costs can't be negative. ",IF(ROUND($H239,2)&lt;&gt;$H239,"Other monthly costs: use up to 2 decimal places. ",IF($H239&gt;99999.99,"Other monthly costs: use 99,999.99 or less. ","")))))&amp;IF(SettingsOK,"","Settings incomplete.")))</f>
        <v/>
      </c>
      <c r="T239" s="23" t="str">
        <f aca="false">IF(AND($A239="",$B239="",$C239="",$D239="",$E239="",$F239="",$G239="",$H239=""),"",IF(Review!$B$5="Check inputs",IF($R239="Check inputs",ROW(),""),IF($R239="Check inputs",IF(Review!$B$5="All accounts",-2000000000000000+ROW(),""),IF(AND(Review!$B$5="Needs review",$R239="Meets your target"),"",IF($R239="No fee entered",-1000000000000000+ROW(),$N239/$B239+ROW()/1000000000)))))</f>
        <v/>
      </c>
    </row>
    <row r="240" customFormat="false" ht="15" hidden="false" customHeight="false" outlineLevel="0" collapsed="false">
      <c r="A240" s="14"/>
      <c r="B240" s="15"/>
      <c r="C240" s="16"/>
      <c r="D240" s="14"/>
      <c r="E240" s="14"/>
      <c r="F240" s="14"/>
      <c r="G240" s="15"/>
      <c r="H240" s="15"/>
      <c r="I240" s="17" t="str">
        <f aca="false">IF(OR(AND($A240="",$B240="",$C240="",$D240="",$E240="",$F240="",$G240="",$H240=""),NOT($S240="")),"",ROUND($C240*($D240+$E240)/60,4))</f>
        <v/>
      </c>
      <c r="J240" s="18" t="str">
        <f aca="false">IF(OR(AND($A240="",$B240="",$C240="",$D240="",$E240="",$F240="",$G240="",$H240=""),NOT($S240="")),"",ROUND(ROUND($C240*($D240+$E240)/60*$B$5,9),2))</f>
        <v/>
      </c>
      <c r="K240" s="18" t="str">
        <f aca="false">IF(OR(AND($A240="",$B240="",$C240="",$D240="",$E240="",$F240="",$G240="",$H240=""),NOT($S240="")),"",ROUND(ROUND($C240*$F240*$B$6,9),2))</f>
        <v/>
      </c>
      <c r="L240" s="18" t="str">
        <f aca="false">IF(OR(AND($A240="",$B240="",$C240="",$D240="",$E240="",$F240="",$G240="",$H240=""),NOT($S240="")),"",ROUND(ROUND($C240*$G240,9),2))</f>
        <v/>
      </c>
      <c r="M240" s="19" t="str">
        <f aca="false">IF(OR(AND($A240="",$B240="",$C240="",$D240="",$E240="",$F240="",$G240="",$H240=""),NOT($S240="")),"",ROUND($J240+$K240+$L240+$H240,2))</f>
        <v/>
      </c>
      <c r="N240" s="19" t="str">
        <f aca="false">IF(OR(AND($A240="",$B240="",$C240="",$D240="",$E240="",$F240="",$G240="",$H240=""),NOT($S240="")),"",ROUND($B240-$M240,2))</f>
        <v/>
      </c>
      <c r="O240" s="20" t="str">
        <f aca="false">IF(OR(AND($A240="",$B240="",$C240="",$D240="",$E240="",$F240="",$G240="",$H240=""),NOT($S240="")),"",IF($B240=0,"n/a",INT(ROUND($N240/$B240*10000,6))/10000))</f>
        <v/>
      </c>
      <c r="P240" s="18" t="str">
        <f aca="false">IF(OR(AND($A240="",$B240="",$C240="",$D240="",$E240="",$F240="",$G240="",$H240=""),NOT($S240="")),"",ROUNDUP(ROUND($M240*10000/(10000-TargetH),9),2))</f>
        <v/>
      </c>
      <c r="Q240" s="18" t="str">
        <f aca="false">IF(OR(AND($A240="",$B240="",$C240="",$D240="",$E240="",$F240="",$G240="",$H240=""),NOT($S240="")),"",MAX(0,ROUND($P240-$B240,2)))</f>
        <v/>
      </c>
      <c r="R240" s="21" t="str">
        <f aca="false">IF(AND($A240="",$B240="",$C240="",$D240="",$E240="",$F240="",$G240="",$H240=""),"",IF(NOT($S240=""),"Check inputs",IF($B240=0,"No fee entered",IF($N240&lt;0,"Losing money on entered costs",IF(ROUND($N240*100,0)*10000&lt;TargetH*ROUND($B240*100,0),"Below your target","Meets your target")))))</f>
        <v/>
      </c>
      <c r="S240" s="22" t="str">
        <f aca="false">IF(AND($A240="",$B240="",$C240="",$D240="",$E240="",$F240="",$G240="",$H240=""),"",TRIM(IF($A240="","Customer/site label is missing. ","")&amp;IF($B240="","Monthly fee is missing. ",IF(NOT(ISNUMBER($B240)),"Monthly fee must be a number. ",IF($B240&lt;0,"Monthly fee can't be negative. ",IF(ROUND($B240,2)&lt;&gt;$B240,"Monthly fee: use up to 2 decimal places. ",IF($B240&gt;99999.99,"Monthly fee: use 99,999.99 or less. ","")))))&amp;IF($C240="","Visits per month is missing. ",IF(NOT(ISNUMBER($C240)),"Visits per month must be a number. ",IF($C240&lt;0,"Visits per month can't be negative. ",IF(ROUND($C240,3)&lt;&gt;$C240,"Visits per month: use up to 3 decimal places. ",IF($C240=0,"Visits per month must be more than 0. ",IF($C240&gt;31,"Visits per month: use 31 or less. ",""))))))&amp;IF($D240="","Service minutes per visit is missing. ",IF(NOT(ISNUMBER($D240)),"Service minutes per visit must be a number. ",IF($D240&lt;0,"Service minutes per visit can't be negative. ",IF(ROUND($D240,2)&lt;&gt;$D240,"Service minutes per visit: use up to 2 decimal places. ",IF($D240=0,"Service minutes per visit must be more than 0. ",IF($D240&gt;600,"Service minutes per visit: use 600 or less. ",""))))))&amp;IF($E240="","Drive minutes per visit is missing. ",IF(NOT(ISNUMBER($E240)),"Drive minutes per visit must be a number. ",IF($E240&lt;0,"Drive minutes per visit can't be negative. ",IF(ROUND($E240,2)&lt;&gt;$E240,"Drive minutes per visit: use up to 2 decimal places. ",IF($E240&gt;600,"Drive minutes per visit: use 600 or less. ","")))))&amp;IF($F240="","Drive miles per visit is missing. ",IF(NOT(ISNUMBER($F240)),"Drive miles per visit must be a number. ",IF($F240&lt;0,"Drive miles per visit can't be negative. ",IF(ROUND($F240,2)&lt;&gt;$F240,"Drive miles per visit: use up to 2 decimal places. ",IF($F240&gt;1000,"Drive miles per visit: use 1,000 or less. ","")))))&amp;IF($G240="","Chemicals per visit is missing. ",IF(NOT(ISNUMBER($G240)),"Chemicals per visit must be a number. ",IF($G240&lt;0,"Chemicals per visit can't be negative. ",IF(ROUND($G240,2)&lt;&gt;$G240,"Chemicals per visit: use up to 2 decimal places. ",IF($G240&gt;9999.99,"Chemicals per visit: use 9,999.99 or less. ","")))))&amp;IF($H240="","Other monthly costs is missing. ",IF(NOT(ISNUMBER($H240)),"Other monthly costs must be a number. ",IF($H240&lt;0,"Other monthly costs can't be negative. ",IF(ROUND($H240,2)&lt;&gt;$H240,"Other monthly costs: use up to 2 decimal places. ",IF($H240&gt;99999.99,"Other monthly costs: use 99,999.99 or less. ","")))))&amp;IF(SettingsOK,"","Settings incomplete.")))</f>
        <v/>
      </c>
      <c r="T240" s="23" t="str">
        <f aca="false">IF(AND($A240="",$B240="",$C240="",$D240="",$E240="",$F240="",$G240="",$H240=""),"",IF(Review!$B$5="Check inputs",IF($R240="Check inputs",ROW(),""),IF($R240="Check inputs",IF(Review!$B$5="All accounts",-2000000000000000+ROW(),""),IF(AND(Review!$B$5="Needs review",$R240="Meets your target"),"",IF($R240="No fee entered",-1000000000000000+ROW(),$N240/$B240+ROW()/1000000000)))))</f>
        <v/>
      </c>
    </row>
    <row r="241" customFormat="false" ht="15" hidden="false" customHeight="false" outlineLevel="0" collapsed="false">
      <c r="A241" s="14"/>
      <c r="B241" s="15"/>
      <c r="C241" s="16"/>
      <c r="D241" s="14"/>
      <c r="E241" s="14"/>
      <c r="F241" s="14"/>
      <c r="G241" s="15"/>
      <c r="H241" s="15"/>
      <c r="I241" s="17" t="str">
        <f aca="false">IF(OR(AND($A241="",$B241="",$C241="",$D241="",$E241="",$F241="",$G241="",$H241=""),NOT($S241="")),"",ROUND($C241*($D241+$E241)/60,4))</f>
        <v/>
      </c>
      <c r="J241" s="18" t="str">
        <f aca="false">IF(OR(AND($A241="",$B241="",$C241="",$D241="",$E241="",$F241="",$G241="",$H241=""),NOT($S241="")),"",ROUND(ROUND($C241*($D241+$E241)/60*$B$5,9),2))</f>
        <v/>
      </c>
      <c r="K241" s="18" t="str">
        <f aca="false">IF(OR(AND($A241="",$B241="",$C241="",$D241="",$E241="",$F241="",$G241="",$H241=""),NOT($S241="")),"",ROUND(ROUND($C241*$F241*$B$6,9),2))</f>
        <v/>
      </c>
      <c r="L241" s="18" t="str">
        <f aca="false">IF(OR(AND($A241="",$B241="",$C241="",$D241="",$E241="",$F241="",$G241="",$H241=""),NOT($S241="")),"",ROUND(ROUND($C241*$G241,9),2))</f>
        <v/>
      </c>
      <c r="M241" s="19" t="str">
        <f aca="false">IF(OR(AND($A241="",$B241="",$C241="",$D241="",$E241="",$F241="",$G241="",$H241=""),NOT($S241="")),"",ROUND($J241+$K241+$L241+$H241,2))</f>
        <v/>
      </c>
      <c r="N241" s="19" t="str">
        <f aca="false">IF(OR(AND($A241="",$B241="",$C241="",$D241="",$E241="",$F241="",$G241="",$H241=""),NOT($S241="")),"",ROUND($B241-$M241,2))</f>
        <v/>
      </c>
      <c r="O241" s="20" t="str">
        <f aca="false">IF(OR(AND($A241="",$B241="",$C241="",$D241="",$E241="",$F241="",$G241="",$H241=""),NOT($S241="")),"",IF($B241=0,"n/a",INT(ROUND($N241/$B241*10000,6))/10000))</f>
        <v/>
      </c>
      <c r="P241" s="18" t="str">
        <f aca="false">IF(OR(AND($A241="",$B241="",$C241="",$D241="",$E241="",$F241="",$G241="",$H241=""),NOT($S241="")),"",ROUNDUP(ROUND($M241*10000/(10000-TargetH),9),2))</f>
        <v/>
      </c>
      <c r="Q241" s="18" t="str">
        <f aca="false">IF(OR(AND($A241="",$B241="",$C241="",$D241="",$E241="",$F241="",$G241="",$H241=""),NOT($S241="")),"",MAX(0,ROUND($P241-$B241,2)))</f>
        <v/>
      </c>
      <c r="R241" s="21" t="str">
        <f aca="false">IF(AND($A241="",$B241="",$C241="",$D241="",$E241="",$F241="",$G241="",$H241=""),"",IF(NOT($S241=""),"Check inputs",IF($B241=0,"No fee entered",IF($N241&lt;0,"Losing money on entered costs",IF(ROUND($N241*100,0)*10000&lt;TargetH*ROUND($B241*100,0),"Below your target","Meets your target")))))</f>
        <v/>
      </c>
      <c r="S241" s="22" t="str">
        <f aca="false">IF(AND($A241="",$B241="",$C241="",$D241="",$E241="",$F241="",$G241="",$H241=""),"",TRIM(IF($A241="","Customer/site label is missing. ","")&amp;IF($B241="","Monthly fee is missing. ",IF(NOT(ISNUMBER($B241)),"Monthly fee must be a number. ",IF($B241&lt;0,"Monthly fee can't be negative. ",IF(ROUND($B241,2)&lt;&gt;$B241,"Monthly fee: use up to 2 decimal places. ",IF($B241&gt;99999.99,"Monthly fee: use 99,999.99 or less. ","")))))&amp;IF($C241="","Visits per month is missing. ",IF(NOT(ISNUMBER($C241)),"Visits per month must be a number. ",IF($C241&lt;0,"Visits per month can't be negative. ",IF(ROUND($C241,3)&lt;&gt;$C241,"Visits per month: use up to 3 decimal places. ",IF($C241=0,"Visits per month must be more than 0. ",IF($C241&gt;31,"Visits per month: use 31 or less. ",""))))))&amp;IF($D241="","Service minutes per visit is missing. ",IF(NOT(ISNUMBER($D241)),"Service minutes per visit must be a number. ",IF($D241&lt;0,"Service minutes per visit can't be negative. ",IF(ROUND($D241,2)&lt;&gt;$D241,"Service minutes per visit: use up to 2 decimal places. ",IF($D241=0,"Service minutes per visit must be more than 0. ",IF($D241&gt;600,"Service minutes per visit: use 600 or less. ",""))))))&amp;IF($E241="","Drive minutes per visit is missing. ",IF(NOT(ISNUMBER($E241)),"Drive minutes per visit must be a number. ",IF($E241&lt;0,"Drive minutes per visit can't be negative. ",IF(ROUND($E241,2)&lt;&gt;$E241,"Drive minutes per visit: use up to 2 decimal places. ",IF($E241&gt;600,"Drive minutes per visit: use 600 or less. ","")))))&amp;IF($F241="","Drive miles per visit is missing. ",IF(NOT(ISNUMBER($F241)),"Drive miles per visit must be a number. ",IF($F241&lt;0,"Drive miles per visit can't be negative. ",IF(ROUND($F241,2)&lt;&gt;$F241,"Drive miles per visit: use up to 2 decimal places. ",IF($F241&gt;1000,"Drive miles per visit: use 1,000 or less. ","")))))&amp;IF($G241="","Chemicals per visit is missing. ",IF(NOT(ISNUMBER($G241)),"Chemicals per visit must be a number. ",IF($G241&lt;0,"Chemicals per visit can't be negative. ",IF(ROUND($G241,2)&lt;&gt;$G241,"Chemicals per visit: use up to 2 decimal places. ",IF($G241&gt;9999.99,"Chemicals per visit: use 9,999.99 or less. ","")))))&amp;IF($H241="","Other monthly costs is missing. ",IF(NOT(ISNUMBER($H241)),"Other monthly costs must be a number. ",IF($H241&lt;0,"Other monthly costs can't be negative. ",IF(ROUND($H241,2)&lt;&gt;$H241,"Other monthly costs: use up to 2 decimal places. ",IF($H241&gt;99999.99,"Other monthly costs: use 99,999.99 or less. ","")))))&amp;IF(SettingsOK,"","Settings incomplete.")))</f>
        <v/>
      </c>
      <c r="T241" s="23" t="str">
        <f aca="false">IF(AND($A241="",$B241="",$C241="",$D241="",$E241="",$F241="",$G241="",$H241=""),"",IF(Review!$B$5="Check inputs",IF($R241="Check inputs",ROW(),""),IF($R241="Check inputs",IF(Review!$B$5="All accounts",-2000000000000000+ROW(),""),IF(AND(Review!$B$5="Needs review",$R241="Meets your target"),"",IF($R241="No fee entered",-1000000000000000+ROW(),$N241/$B241+ROW()/1000000000)))))</f>
        <v/>
      </c>
    </row>
    <row r="242" customFormat="false" ht="15" hidden="false" customHeight="false" outlineLevel="0" collapsed="false">
      <c r="A242" s="14"/>
      <c r="B242" s="15"/>
      <c r="C242" s="16"/>
      <c r="D242" s="14"/>
      <c r="E242" s="14"/>
      <c r="F242" s="14"/>
      <c r="G242" s="15"/>
      <c r="H242" s="15"/>
      <c r="I242" s="17" t="str">
        <f aca="false">IF(OR(AND($A242="",$B242="",$C242="",$D242="",$E242="",$F242="",$G242="",$H242=""),NOT($S242="")),"",ROUND($C242*($D242+$E242)/60,4))</f>
        <v/>
      </c>
      <c r="J242" s="18" t="str">
        <f aca="false">IF(OR(AND($A242="",$B242="",$C242="",$D242="",$E242="",$F242="",$G242="",$H242=""),NOT($S242="")),"",ROUND(ROUND($C242*($D242+$E242)/60*$B$5,9),2))</f>
        <v/>
      </c>
      <c r="K242" s="18" t="str">
        <f aca="false">IF(OR(AND($A242="",$B242="",$C242="",$D242="",$E242="",$F242="",$G242="",$H242=""),NOT($S242="")),"",ROUND(ROUND($C242*$F242*$B$6,9),2))</f>
        <v/>
      </c>
      <c r="L242" s="18" t="str">
        <f aca="false">IF(OR(AND($A242="",$B242="",$C242="",$D242="",$E242="",$F242="",$G242="",$H242=""),NOT($S242="")),"",ROUND(ROUND($C242*$G242,9),2))</f>
        <v/>
      </c>
      <c r="M242" s="19" t="str">
        <f aca="false">IF(OR(AND($A242="",$B242="",$C242="",$D242="",$E242="",$F242="",$G242="",$H242=""),NOT($S242="")),"",ROUND($J242+$K242+$L242+$H242,2))</f>
        <v/>
      </c>
      <c r="N242" s="19" t="str">
        <f aca="false">IF(OR(AND($A242="",$B242="",$C242="",$D242="",$E242="",$F242="",$G242="",$H242=""),NOT($S242="")),"",ROUND($B242-$M242,2))</f>
        <v/>
      </c>
      <c r="O242" s="20" t="str">
        <f aca="false">IF(OR(AND($A242="",$B242="",$C242="",$D242="",$E242="",$F242="",$G242="",$H242=""),NOT($S242="")),"",IF($B242=0,"n/a",INT(ROUND($N242/$B242*10000,6))/10000))</f>
        <v/>
      </c>
      <c r="P242" s="18" t="str">
        <f aca="false">IF(OR(AND($A242="",$B242="",$C242="",$D242="",$E242="",$F242="",$G242="",$H242=""),NOT($S242="")),"",ROUNDUP(ROUND($M242*10000/(10000-TargetH),9),2))</f>
        <v/>
      </c>
      <c r="Q242" s="18" t="str">
        <f aca="false">IF(OR(AND($A242="",$B242="",$C242="",$D242="",$E242="",$F242="",$G242="",$H242=""),NOT($S242="")),"",MAX(0,ROUND($P242-$B242,2)))</f>
        <v/>
      </c>
      <c r="R242" s="21" t="str">
        <f aca="false">IF(AND($A242="",$B242="",$C242="",$D242="",$E242="",$F242="",$G242="",$H242=""),"",IF(NOT($S242=""),"Check inputs",IF($B242=0,"No fee entered",IF($N242&lt;0,"Losing money on entered costs",IF(ROUND($N242*100,0)*10000&lt;TargetH*ROUND($B242*100,0),"Below your target","Meets your target")))))</f>
        <v/>
      </c>
      <c r="S242" s="22" t="str">
        <f aca="false">IF(AND($A242="",$B242="",$C242="",$D242="",$E242="",$F242="",$G242="",$H242=""),"",TRIM(IF($A242="","Customer/site label is missing. ","")&amp;IF($B242="","Monthly fee is missing. ",IF(NOT(ISNUMBER($B242)),"Monthly fee must be a number. ",IF($B242&lt;0,"Monthly fee can't be negative. ",IF(ROUND($B242,2)&lt;&gt;$B242,"Monthly fee: use up to 2 decimal places. ",IF($B242&gt;99999.99,"Monthly fee: use 99,999.99 or less. ","")))))&amp;IF($C242="","Visits per month is missing. ",IF(NOT(ISNUMBER($C242)),"Visits per month must be a number. ",IF($C242&lt;0,"Visits per month can't be negative. ",IF(ROUND($C242,3)&lt;&gt;$C242,"Visits per month: use up to 3 decimal places. ",IF($C242=0,"Visits per month must be more than 0. ",IF($C242&gt;31,"Visits per month: use 31 or less. ",""))))))&amp;IF($D242="","Service minutes per visit is missing. ",IF(NOT(ISNUMBER($D242)),"Service minutes per visit must be a number. ",IF($D242&lt;0,"Service minutes per visit can't be negative. ",IF(ROUND($D242,2)&lt;&gt;$D242,"Service minutes per visit: use up to 2 decimal places. ",IF($D242=0,"Service minutes per visit must be more than 0. ",IF($D242&gt;600,"Service minutes per visit: use 600 or less. ",""))))))&amp;IF($E242="","Drive minutes per visit is missing. ",IF(NOT(ISNUMBER($E242)),"Drive minutes per visit must be a number. ",IF($E242&lt;0,"Drive minutes per visit can't be negative. ",IF(ROUND($E242,2)&lt;&gt;$E242,"Drive minutes per visit: use up to 2 decimal places. ",IF($E242&gt;600,"Drive minutes per visit: use 600 or less. ","")))))&amp;IF($F242="","Drive miles per visit is missing. ",IF(NOT(ISNUMBER($F242)),"Drive miles per visit must be a number. ",IF($F242&lt;0,"Drive miles per visit can't be negative. ",IF(ROUND($F242,2)&lt;&gt;$F242,"Drive miles per visit: use up to 2 decimal places. ",IF($F242&gt;1000,"Drive miles per visit: use 1,000 or less. ","")))))&amp;IF($G242="","Chemicals per visit is missing. ",IF(NOT(ISNUMBER($G242)),"Chemicals per visit must be a number. ",IF($G242&lt;0,"Chemicals per visit can't be negative. ",IF(ROUND($G242,2)&lt;&gt;$G242,"Chemicals per visit: use up to 2 decimal places. ",IF($G242&gt;9999.99,"Chemicals per visit: use 9,999.99 or less. ","")))))&amp;IF($H242="","Other monthly costs is missing. ",IF(NOT(ISNUMBER($H242)),"Other monthly costs must be a number. ",IF($H242&lt;0,"Other monthly costs can't be negative. ",IF(ROUND($H242,2)&lt;&gt;$H242,"Other monthly costs: use up to 2 decimal places. ",IF($H242&gt;99999.99,"Other monthly costs: use 99,999.99 or less. ","")))))&amp;IF(SettingsOK,"","Settings incomplete.")))</f>
        <v/>
      </c>
      <c r="T242" s="23" t="str">
        <f aca="false">IF(AND($A242="",$B242="",$C242="",$D242="",$E242="",$F242="",$G242="",$H242=""),"",IF(Review!$B$5="Check inputs",IF($R242="Check inputs",ROW(),""),IF($R242="Check inputs",IF(Review!$B$5="All accounts",-2000000000000000+ROW(),""),IF(AND(Review!$B$5="Needs review",$R242="Meets your target"),"",IF($R242="No fee entered",-1000000000000000+ROW(),$N242/$B242+ROW()/1000000000)))))</f>
        <v/>
      </c>
    </row>
    <row r="243" customFormat="false" ht="15" hidden="false" customHeight="false" outlineLevel="0" collapsed="false">
      <c r="A243" s="14"/>
      <c r="B243" s="15"/>
      <c r="C243" s="16"/>
      <c r="D243" s="14"/>
      <c r="E243" s="14"/>
      <c r="F243" s="14"/>
      <c r="G243" s="15"/>
      <c r="H243" s="15"/>
      <c r="I243" s="17" t="str">
        <f aca="false">IF(OR(AND($A243="",$B243="",$C243="",$D243="",$E243="",$F243="",$G243="",$H243=""),NOT($S243="")),"",ROUND($C243*($D243+$E243)/60,4))</f>
        <v/>
      </c>
      <c r="J243" s="18" t="str">
        <f aca="false">IF(OR(AND($A243="",$B243="",$C243="",$D243="",$E243="",$F243="",$G243="",$H243=""),NOT($S243="")),"",ROUND(ROUND($C243*($D243+$E243)/60*$B$5,9),2))</f>
        <v/>
      </c>
      <c r="K243" s="18" t="str">
        <f aca="false">IF(OR(AND($A243="",$B243="",$C243="",$D243="",$E243="",$F243="",$G243="",$H243=""),NOT($S243="")),"",ROUND(ROUND($C243*$F243*$B$6,9),2))</f>
        <v/>
      </c>
      <c r="L243" s="18" t="str">
        <f aca="false">IF(OR(AND($A243="",$B243="",$C243="",$D243="",$E243="",$F243="",$G243="",$H243=""),NOT($S243="")),"",ROUND(ROUND($C243*$G243,9),2))</f>
        <v/>
      </c>
      <c r="M243" s="19" t="str">
        <f aca="false">IF(OR(AND($A243="",$B243="",$C243="",$D243="",$E243="",$F243="",$G243="",$H243=""),NOT($S243="")),"",ROUND($J243+$K243+$L243+$H243,2))</f>
        <v/>
      </c>
      <c r="N243" s="19" t="str">
        <f aca="false">IF(OR(AND($A243="",$B243="",$C243="",$D243="",$E243="",$F243="",$G243="",$H243=""),NOT($S243="")),"",ROUND($B243-$M243,2))</f>
        <v/>
      </c>
      <c r="O243" s="20" t="str">
        <f aca="false">IF(OR(AND($A243="",$B243="",$C243="",$D243="",$E243="",$F243="",$G243="",$H243=""),NOT($S243="")),"",IF($B243=0,"n/a",INT(ROUND($N243/$B243*10000,6))/10000))</f>
        <v/>
      </c>
      <c r="P243" s="18" t="str">
        <f aca="false">IF(OR(AND($A243="",$B243="",$C243="",$D243="",$E243="",$F243="",$G243="",$H243=""),NOT($S243="")),"",ROUNDUP(ROUND($M243*10000/(10000-TargetH),9),2))</f>
        <v/>
      </c>
      <c r="Q243" s="18" t="str">
        <f aca="false">IF(OR(AND($A243="",$B243="",$C243="",$D243="",$E243="",$F243="",$G243="",$H243=""),NOT($S243="")),"",MAX(0,ROUND($P243-$B243,2)))</f>
        <v/>
      </c>
      <c r="R243" s="21" t="str">
        <f aca="false">IF(AND($A243="",$B243="",$C243="",$D243="",$E243="",$F243="",$G243="",$H243=""),"",IF(NOT($S243=""),"Check inputs",IF($B243=0,"No fee entered",IF($N243&lt;0,"Losing money on entered costs",IF(ROUND($N243*100,0)*10000&lt;TargetH*ROUND($B243*100,0),"Below your target","Meets your target")))))</f>
        <v/>
      </c>
      <c r="S243" s="22" t="str">
        <f aca="false">IF(AND($A243="",$B243="",$C243="",$D243="",$E243="",$F243="",$G243="",$H243=""),"",TRIM(IF($A243="","Customer/site label is missing. ","")&amp;IF($B243="","Monthly fee is missing. ",IF(NOT(ISNUMBER($B243)),"Monthly fee must be a number. ",IF($B243&lt;0,"Monthly fee can't be negative. ",IF(ROUND($B243,2)&lt;&gt;$B243,"Monthly fee: use up to 2 decimal places. ",IF($B243&gt;99999.99,"Monthly fee: use 99,999.99 or less. ","")))))&amp;IF($C243="","Visits per month is missing. ",IF(NOT(ISNUMBER($C243)),"Visits per month must be a number. ",IF($C243&lt;0,"Visits per month can't be negative. ",IF(ROUND($C243,3)&lt;&gt;$C243,"Visits per month: use up to 3 decimal places. ",IF($C243=0,"Visits per month must be more than 0. ",IF($C243&gt;31,"Visits per month: use 31 or less. ",""))))))&amp;IF($D243="","Service minutes per visit is missing. ",IF(NOT(ISNUMBER($D243)),"Service minutes per visit must be a number. ",IF($D243&lt;0,"Service minutes per visit can't be negative. ",IF(ROUND($D243,2)&lt;&gt;$D243,"Service minutes per visit: use up to 2 decimal places. ",IF($D243=0,"Service minutes per visit must be more than 0. ",IF($D243&gt;600,"Service minutes per visit: use 600 or less. ",""))))))&amp;IF($E243="","Drive minutes per visit is missing. ",IF(NOT(ISNUMBER($E243)),"Drive minutes per visit must be a number. ",IF($E243&lt;0,"Drive minutes per visit can't be negative. ",IF(ROUND($E243,2)&lt;&gt;$E243,"Drive minutes per visit: use up to 2 decimal places. ",IF($E243&gt;600,"Drive minutes per visit: use 600 or less. ","")))))&amp;IF($F243="","Drive miles per visit is missing. ",IF(NOT(ISNUMBER($F243)),"Drive miles per visit must be a number. ",IF($F243&lt;0,"Drive miles per visit can't be negative. ",IF(ROUND($F243,2)&lt;&gt;$F243,"Drive miles per visit: use up to 2 decimal places. ",IF($F243&gt;1000,"Drive miles per visit: use 1,000 or less. ","")))))&amp;IF($G243="","Chemicals per visit is missing. ",IF(NOT(ISNUMBER($G243)),"Chemicals per visit must be a number. ",IF($G243&lt;0,"Chemicals per visit can't be negative. ",IF(ROUND($G243,2)&lt;&gt;$G243,"Chemicals per visit: use up to 2 decimal places. ",IF($G243&gt;9999.99,"Chemicals per visit: use 9,999.99 or less. ","")))))&amp;IF($H243="","Other monthly costs is missing. ",IF(NOT(ISNUMBER($H243)),"Other monthly costs must be a number. ",IF($H243&lt;0,"Other monthly costs can't be negative. ",IF(ROUND($H243,2)&lt;&gt;$H243,"Other monthly costs: use up to 2 decimal places. ",IF($H243&gt;99999.99,"Other monthly costs: use 99,999.99 or less. ","")))))&amp;IF(SettingsOK,"","Settings incomplete.")))</f>
        <v/>
      </c>
      <c r="T243" s="23" t="str">
        <f aca="false">IF(AND($A243="",$B243="",$C243="",$D243="",$E243="",$F243="",$G243="",$H243=""),"",IF(Review!$B$5="Check inputs",IF($R243="Check inputs",ROW(),""),IF($R243="Check inputs",IF(Review!$B$5="All accounts",-2000000000000000+ROW(),""),IF(AND(Review!$B$5="Needs review",$R243="Meets your target"),"",IF($R243="No fee entered",-1000000000000000+ROW(),$N243/$B243+ROW()/1000000000)))))</f>
        <v/>
      </c>
    </row>
    <row r="244" customFormat="false" ht="15" hidden="false" customHeight="false" outlineLevel="0" collapsed="false">
      <c r="A244" s="14"/>
      <c r="B244" s="15"/>
      <c r="C244" s="16"/>
      <c r="D244" s="14"/>
      <c r="E244" s="14"/>
      <c r="F244" s="14"/>
      <c r="G244" s="15"/>
      <c r="H244" s="15"/>
      <c r="I244" s="17" t="str">
        <f aca="false">IF(OR(AND($A244="",$B244="",$C244="",$D244="",$E244="",$F244="",$G244="",$H244=""),NOT($S244="")),"",ROUND($C244*($D244+$E244)/60,4))</f>
        <v/>
      </c>
      <c r="J244" s="18" t="str">
        <f aca="false">IF(OR(AND($A244="",$B244="",$C244="",$D244="",$E244="",$F244="",$G244="",$H244=""),NOT($S244="")),"",ROUND(ROUND($C244*($D244+$E244)/60*$B$5,9),2))</f>
        <v/>
      </c>
      <c r="K244" s="18" t="str">
        <f aca="false">IF(OR(AND($A244="",$B244="",$C244="",$D244="",$E244="",$F244="",$G244="",$H244=""),NOT($S244="")),"",ROUND(ROUND($C244*$F244*$B$6,9),2))</f>
        <v/>
      </c>
      <c r="L244" s="18" t="str">
        <f aca="false">IF(OR(AND($A244="",$B244="",$C244="",$D244="",$E244="",$F244="",$G244="",$H244=""),NOT($S244="")),"",ROUND(ROUND($C244*$G244,9),2))</f>
        <v/>
      </c>
      <c r="M244" s="19" t="str">
        <f aca="false">IF(OR(AND($A244="",$B244="",$C244="",$D244="",$E244="",$F244="",$G244="",$H244=""),NOT($S244="")),"",ROUND($J244+$K244+$L244+$H244,2))</f>
        <v/>
      </c>
      <c r="N244" s="19" t="str">
        <f aca="false">IF(OR(AND($A244="",$B244="",$C244="",$D244="",$E244="",$F244="",$G244="",$H244=""),NOT($S244="")),"",ROUND($B244-$M244,2))</f>
        <v/>
      </c>
      <c r="O244" s="20" t="str">
        <f aca="false">IF(OR(AND($A244="",$B244="",$C244="",$D244="",$E244="",$F244="",$G244="",$H244=""),NOT($S244="")),"",IF($B244=0,"n/a",INT(ROUND($N244/$B244*10000,6))/10000))</f>
        <v/>
      </c>
      <c r="P244" s="18" t="str">
        <f aca="false">IF(OR(AND($A244="",$B244="",$C244="",$D244="",$E244="",$F244="",$G244="",$H244=""),NOT($S244="")),"",ROUNDUP(ROUND($M244*10000/(10000-TargetH),9),2))</f>
        <v/>
      </c>
      <c r="Q244" s="18" t="str">
        <f aca="false">IF(OR(AND($A244="",$B244="",$C244="",$D244="",$E244="",$F244="",$G244="",$H244=""),NOT($S244="")),"",MAX(0,ROUND($P244-$B244,2)))</f>
        <v/>
      </c>
      <c r="R244" s="21" t="str">
        <f aca="false">IF(AND($A244="",$B244="",$C244="",$D244="",$E244="",$F244="",$G244="",$H244=""),"",IF(NOT($S244=""),"Check inputs",IF($B244=0,"No fee entered",IF($N244&lt;0,"Losing money on entered costs",IF(ROUND($N244*100,0)*10000&lt;TargetH*ROUND($B244*100,0),"Below your target","Meets your target")))))</f>
        <v/>
      </c>
      <c r="S244" s="22" t="str">
        <f aca="false">IF(AND($A244="",$B244="",$C244="",$D244="",$E244="",$F244="",$G244="",$H244=""),"",TRIM(IF($A244="","Customer/site label is missing. ","")&amp;IF($B244="","Monthly fee is missing. ",IF(NOT(ISNUMBER($B244)),"Monthly fee must be a number. ",IF($B244&lt;0,"Monthly fee can't be negative. ",IF(ROUND($B244,2)&lt;&gt;$B244,"Monthly fee: use up to 2 decimal places. ",IF($B244&gt;99999.99,"Monthly fee: use 99,999.99 or less. ","")))))&amp;IF($C244="","Visits per month is missing. ",IF(NOT(ISNUMBER($C244)),"Visits per month must be a number. ",IF($C244&lt;0,"Visits per month can't be negative. ",IF(ROUND($C244,3)&lt;&gt;$C244,"Visits per month: use up to 3 decimal places. ",IF($C244=0,"Visits per month must be more than 0. ",IF($C244&gt;31,"Visits per month: use 31 or less. ",""))))))&amp;IF($D244="","Service minutes per visit is missing. ",IF(NOT(ISNUMBER($D244)),"Service minutes per visit must be a number. ",IF($D244&lt;0,"Service minutes per visit can't be negative. ",IF(ROUND($D244,2)&lt;&gt;$D244,"Service minutes per visit: use up to 2 decimal places. ",IF($D244=0,"Service minutes per visit must be more than 0. ",IF($D244&gt;600,"Service minutes per visit: use 600 or less. ",""))))))&amp;IF($E244="","Drive minutes per visit is missing. ",IF(NOT(ISNUMBER($E244)),"Drive minutes per visit must be a number. ",IF($E244&lt;0,"Drive minutes per visit can't be negative. ",IF(ROUND($E244,2)&lt;&gt;$E244,"Drive minutes per visit: use up to 2 decimal places. ",IF($E244&gt;600,"Drive minutes per visit: use 600 or less. ","")))))&amp;IF($F244="","Drive miles per visit is missing. ",IF(NOT(ISNUMBER($F244)),"Drive miles per visit must be a number. ",IF($F244&lt;0,"Drive miles per visit can't be negative. ",IF(ROUND($F244,2)&lt;&gt;$F244,"Drive miles per visit: use up to 2 decimal places. ",IF($F244&gt;1000,"Drive miles per visit: use 1,000 or less. ","")))))&amp;IF($G244="","Chemicals per visit is missing. ",IF(NOT(ISNUMBER($G244)),"Chemicals per visit must be a number. ",IF($G244&lt;0,"Chemicals per visit can't be negative. ",IF(ROUND($G244,2)&lt;&gt;$G244,"Chemicals per visit: use up to 2 decimal places. ",IF($G244&gt;9999.99,"Chemicals per visit: use 9,999.99 or less. ","")))))&amp;IF($H244="","Other monthly costs is missing. ",IF(NOT(ISNUMBER($H244)),"Other monthly costs must be a number. ",IF($H244&lt;0,"Other monthly costs can't be negative. ",IF(ROUND($H244,2)&lt;&gt;$H244,"Other monthly costs: use up to 2 decimal places. ",IF($H244&gt;99999.99,"Other monthly costs: use 99,999.99 or less. ","")))))&amp;IF(SettingsOK,"","Settings incomplete.")))</f>
        <v/>
      </c>
      <c r="T244" s="23" t="str">
        <f aca="false">IF(AND($A244="",$B244="",$C244="",$D244="",$E244="",$F244="",$G244="",$H244=""),"",IF(Review!$B$5="Check inputs",IF($R244="Check inputs",ROW(),""),IF($R244="Check inputs",IF(Review!$B$5="All accounts",-2000000000000000+ROW(),""),IF(AND(Review!$B$5="Needs review",$R244="Meets your target"),"",IF($R244="No fee entered",-1000000000000000+ROW(),$N244/$B244+ROW()/1000000000)))))</f>
        <v/>
      </c>
    </row>
    <row r="245" customFormat="false" ht="15" hidden="false" customHeight="false" outlineLevel="0" collapsed="false">
      <c r="A245" s="14"/>
      <c r="B245" s="15"/>
      <c r="C245" s="16"/>
      <c r="D245" s="14"/>
      <c r="E245" s="14"/>
      <c r="F245" s="14"/>
      <c r="G245" s="15"/>
      <c r="H245" s="15"/>
      <c r="I245" s="17" t="str">
        <f aca="false">IF(OR(AND($A245="",$B245="",$C245="",$D245="",$E245="",$F245="",$G245="",$H245=""),NOT($S245="")),"",ROUND($C245*($D245+$E245)/60,4))</f>
        <v/>
      </c>
      <c r="J245" s="18" t="str">
        <f aca="false">IF(OR(AND($A245="",$B245="",$C245="",$D245="",$E245="",$F245="",$G245="",$H245=""),NOT($S245="")),"",ROUND(ROUND($C245*($D245+$E245)/60*$B$5,9),2))</f>
        <v/>
      </c>
      <c r="K245" s="18" t="str">
        <f aca="false">IF(OR(AND($A245="",$B245="",$C245="",$D245="",$E245="",$F245="",$G245="",$H245=""),NOT($S245="")),"",ROUND(ROUND($C245*$F245*$B$6,9),2))</f>
        <v/>
      </c>
      <c r="L245" s="18" t="str">
        <f aca="false">IF(OR(AND($A245="",$B245="",$C245="",$D245="",$E245="",$F245="",$G245="",$H245=""),NOT($S245="")),"",ROUND(ROUND($C245*$G245,9),2))</f>
        <v/>
      </c>
      <c r="M245" s="19" t="str">
        <f aca="false">IF(OR(AND($A245="",$B245="",$C245="",$D245="",$E245="",$F245="",$G245="",$H245=""),NOT($S245="")),"",ROUND($J245+$K245+$L245+$H245,2))</f>
        <v/>
      </c>
      <c r="N245" s="19" t="str">
        <f aca="false">IF(OR(AND($A245="",$B245="",$C245="",$D245="",$E245="",$F245="",$G245="",$H245=""),NOT($S245="")),"",ROUND($B245-$M245,2))</f>
        <v/>
      </c>
      <c r="O245" s="20" t="str">
        <f aca="false">IF(OR(AND($A245="",$B245="",$C245="",$D245="",$E245="",$F245="",$G245="",$H245=""),NOT($S245="")),"",IF($B245=0,"n/a",INT(ROUND($N245/$B245*10000,6))/10000))</f>
        <v/>
      </c>
      <c r="P245" s="18" t="str">
        <f aca="false">IF(OR(AND($A245="",$B245="",$C245="",$D245="",$E245="",$F245="",$G245="",$H245=""),NOT($S245="")),"",ROUNDUP(ROUND($M245*10000/(10000-TargetH),9),2))</f>
        <v/>
      </c>
      <c r="Q245" s="18" t="str">
        <f aca="false">IF(OR(AND($A245="",$B245="",$C245="",$D245="",$E245="",$F245="",$G245="",$H245=""),NOT($S245="")),"",MAX(0,ROUND($P245-$B245,2)))</f>
        <v/>
      </c>
      <c r="R245" s="21" t="str">
        <f aca="false">IF(AND($A245="",$B245="",$C245="",$D245="",$E245="",$F245="",$G245="",$H245=""),"",IF(NOT($S245=""),"Check inputs",IF($B245=0,"No fee entered",IF($N245&lt;0,"Losing money on entered costs",IF(ROUND($N245*100,0)*10000&lt;TargetH*ROUND($B245*100,0),"Below your target","Meets your target")))))</f>
        <v/>
      </c>
      <c r="S245" s="22" t="str">
        <f aca="false">IF(AND($A245="",$B245="",$C245="",$D245="",$E245="",$F245="",$G245="",$H245=""),"",TRIM(IF($A245="","Customer/site label is missing. ","")&amp;IF($B245="","Monthly fee is missing. ",IF(NOT(ISNUMBER($B245)),"Monthly fee must be a number. ",IF($B245&lt;0,"Monthly fee can't be negative. ",IF(ROUND($B245,2)&lt;&gt;$B245,"Monthly fee: use up to 2 decimal places. ",IF($B245&gt;99999.99,"Monthly fee: use 99,999.99 or less. ","")))))&amp;IF($C245="","Visits per month is missing. ",IF(NOT(ISNUMBER($C245)),"Visits per month must be a number. ",IF($C245&lt;0,"Visits per month can't be negative. ",IF(ROUND($C245,3)&lt;&gt;$C245,"Visits per month: use up to 3 decimal places. ",IF($C245=0,"Visits per month must be more than 0. ",IF($C245&gt;31,"Visits per month: use 31 or less. ",""))))))&amp;IF($D245="","Service minutes per visit is missing. ",IF(NOT(ISNUMBER($D245)),"Service minutes per visit must be a number. ",IF($D245&lt;0,"Service minutes per visit can't be negative. ",IF(ROUND($D245,2)&lt;&gt;$D245,"Service minutes per visit: use up to 2 decimal places. ",IF($D245=0,"Service minutes per visit must be more than 0. ",IF($D245&gt;600,"Service minutes per visit: use 600 or less. ",""))))))&amp;IF($E245="","Drive minutes per visit is missing. ",IF(NOT(ISNUMBER($E245)),"Drive minutes per visit must be a number. ",IF($E245&lt;0,"Drive minutes per visit can't be negative. ",IF(ROUND($E245,2)&lt;&gt;$E245,"Drive minutes per visit: use up to 2 decimal places. ",IF($E245&gt;600,"Drive minutes per visit: use 600 or less. ","")))))&amp;IF($F245="","Drive miles per visit is missing. ",IF(NOT(ISNUMBER($F245)),"Drive miles per visit must be a number. ",IF($F245&lt;0,"Drive miles per visit can't be negative. ",IF(ROUND($F245,2)&lt;&gt;$F245,"Drive miles per visit: use up to 2 decimal places. ",IF($F245&gt;1000,"Drive miles per visit: use 1,000 or less. ","")))))&amp;IF($G245="","Chemicals per visit is missing. ",IF(NOT(ISNUMBER($G245)),"Chemicals per visit must be a number. ",IF($G245&lt;0,"Chemicals per visit can't be negative. ",IF(ROUND($G245,2)&lt;&gt;$G245,"Chemicals per visit: use up to 2 decimal places. ",IF($G245&gt;9999.99,"Chemicals per visit: use 9,999.99 or less. ","")))))&amp;IF($H245="","Other monthly costs is missing. ",IF(NOT(ISNUMBER($H245)),"Other monthly costs must be a number. ",IF($H245&lt;0,"Other monthly costs can't be negative. ",IF(ROUND($H245,2)&lt;&gt;$H245,"Other monthly costs: use up to 2 decimal places. ",IF($H245&gt;99999.99,"Other monthly costs: use 99,999.99 or less. ","")))))&amp;IF(SettingsOK,"","Settings incomplete.")))</f>
        <v/>
      </c>
      <c r="T245" s="23" t="str">
        <f aca="false">IF(AND($A245="",$B245="",$C245="",$D245="",$E245="",$F245="",$G245="",$H245=""),"",IF(Review!$B$5="Check inputs",IF($R245="Check inputs",ROW(),""),IF($R245="Check inputs",IF(Review!$B$5="All accounts",-2000000000000000+ROW(),""),IF(AND(Review!$B$5="Needs review",$R245="Meets your target"),"",IF($R245="No fee entered",-1000000000000000+ROW(),$N245/$B245+ROW()/1000000000)))))</f>
        <v/>
      </c>
    </row>
    <row r="246" customFormat="false" ht="15" hidden="false" customHeight="false" outlineLevel="0" collapsed="false">
      <c r="A246" s="14"/>
      <c r="B246" s="15"/>
      <c r="C246" s="16"/>
      <c r="D246" s="14"/>
      <c r="E246" s="14"/>
      <c r="F246" s="14"/>
      <c r="G246" s="15"/>
      <c r="H246" s="15"/>
      <c r="I246" s="17" t="str">
        <f aca="false">IF(OR(AND($A246="",$B246="",$C246="",$D246="",$E246="",$F246="",$G246="",$H246=""),NOT($S246="")),"",ROUND($C246*($D246+$E246)/60,4))</f>
        <v/>
      </c>
      <c r="J246" s="18" t="str">
        <f aca="false">IF(OR(AND($A246="",$B246="",$C246="",$D246="",$E246="",$F246="",$G246="",$H246=""),NOT($S246="")),"",ROUND(ROUND($C246*($D246+$E246)/60*$B$5,9),2))</f>
        <v/>
      </c>
      <c r="K246" s="18" t="str">
        <f aca="false">IF(OR(AND($A246="",$B246="",$C246="",$D246="",$E246="",$F246="",$G246="",$H246=""),NOT($S246="")),"",ROUND(ROUND($C246*$F246*$B$6,9),2))</f>
        <v/>
      </c>
      <c r="L246" s="18" t="str">
        <f aca="false">IF(OR(AND($A246="",$B246="",$C246="",$D246="",$E246="",$F246="",$G246="",$H246=""),NOT($S246="")),"",ROUND(ROUND($C246*$G246,9),2))</f>
        <v/>
      </c>
      <c r="M246" s="19" t="str">
        <f aca="false">IF(OR(AND($A246="",$B246="",$C246="",$D246="",$E246="",$F246="",$G246="",$H246=""),NOT($S246="")),"",ROUND($J246+$K246+$L246+$H246,2))</f>
        <v/>
      </c>
      <c r="N246" s="19" t="str">
        <f aca="false">IF(OR(AND($A246="",$B246="",$C246="",$D246="",$E246="",$F246="",$G246="",$H246=""),NOT($S246="")),"",ROUND($B246-$M246,2))</f>
        <v/>
      </c>
      <c r="O246" s="20" t="str">
        <f aca="false">IF(OR(AND($A246="",$B246="",$C246="",$D246="",$E246="",$F246="",$G246="",$H246=""),NOT($S246="")),"",IF($B246=0,"n/a",INT(ROUND($N246/$B246*10000,6))/10000))</f>
        <v/>
      </c>
      <c r="P246" s="18" t="str">
        <f aca="false">IF(OR(AND($A246="",$B246="",$C246="",$D246="",$E246="",$F246="",$G246="",$H246=""),NOT($S246="")),"",ROUNDUP(ROUND($M246*10000/(10000-TargetH),9),2))</f>
        <v/>
      </c>
      <c r="Q246" s="18" t="str">
        <f aca="false">IF(OR(AND($A246="",$B246="",$C246="",$D246="",$E246="",$F246="",$G246="",$H246=""),NOT($S246="")),"",MAX(0,ROUND($P246-$B246,2)))</f>
        <v/>
      </c>
      <c r="R246" s="21" t="str">
        <f aca="false">IF(AND($A246="",$B246="",$C246="",$D246="",$E246="",$F246="",$G246="",$H246=""),"",IF(NOT($S246=""),"Check inputs",IF($B246=0,"No fee entered",IF($N246&lt;0,"Losing money on entered costs",IF(ROUND($N246*100,0)*10000&lt;TargetH*ROUND($B246*100,0),"Below your target","Meets your target")))))</f>
        <v/>
      </c>
      <c r="S246" s="22" t="str">
        <f aca="false">IF(AND($A246="",$B246="",$C246="",$D246="",$E246="",$F246="",$G246="",$H246=""),"",TRIM(IF($A246="","Customer/site label is missing. ","")&amp;IF($B246="","Monthly fee is missing. ",IF(NOT(ISNUMBER($B246)),"Monthly fee must be a number. ",IF($B246&lt;0,"Monthly fee can't be negative. ",IF(ROUND($B246,2)&lt;&gt;$B246,"Monthly fee: use up to 2 decimal places. ",IF($B246&gt;99999.99,"Monthly fee: use 99,999.99 or less. ","")))))&amp;IF($C246="","Visits per month is missing. ",IF(NOT(ISNUMBER($C246)),"Visits per month must be a number. ",IF($C246&lt;0,"Visits per month can't be negative. ",IF(ROUND($C246,3)&lt;&gt;$C246,"Visits per month: use up to 3 decimal places. ",IF($C246=0,"Visits per month must be more than 0. ",IF($C246&gt;31,"Visits per month: use 31 or less. ",""))))))&amp;IF($D246="","Service minutes per visit is missing. ",IF(NOT(ISNUMBER($D246)),"Service minutes per visit must be a number. ",IF($D246&lt;0,"Service minutes per visit can't be negative. ",IF(ROUND($D246,2)&lt;&gt;$D246,"Service minutes per visit: use up to 2 decimal places. ",IF($D246=0,"Service minutes per visit must be more than 0. ",IF($D246&gt;600,"Service minutes per visit: use 600 or less. ",""))))))&amp;IF($E246="","Drive minutes per visit is missing. ",IF(NOT(ISNUMBER($E246)),"Drive minutes per visit must be a number. ",IF($E246&lt;0,"Drive minutes per visit can't be negative. ",IF(ROUND($E246,2)&lt;&gt;$E246,"Drive minutes per visit: use up to 2 decimal places. ",IF($E246&gt;600,"Drive minutes per visit: use 600 or less. ","")))))&amp;IF($F246="","Drive miles per visit is missing. ",IF(NOT(ISNUMBER($F246)),"Drive miles per visit must be a number. ",IF($F246&lt;0,"Drive miles per visit can't be negative. ",IF(ROUND($F246,2)&lt;&gt;$F246,"Drive miles per visit: use up to 2 decimal places. ",IF($F246&gt;1000,"Drive miles per visit: use 1,000 or less. ","")))))&amp;IF($G246="","Chemicals per visit is missing. ",IF(NOT(ISNUMBER($G246)),"Chemicals per visit must be a number. ",IF($G246&lt;0,"Chemicals per visit can't be negative. ",IF(ROUND($G246,2)&lt;&gt;$G246,"Chemicals per visit: use up to 2 decimal places. ",IF($G246&gt;9999.99,"Chemicals per visit: use 9,999.99 or less. ","")))))&amp;IF($H246="","Other monthly costs is missing. ",IF(NOT(ISNUMBER($H246)),"Other monthly costs must be a number. ",IF($H246&lt;0,"Other monthly costs can't be negative. ",IF(ROUND($H246,2)&lt;&gt;$H246,"Other monthly costs: use up to 2 decimal places. ",IF($H246&gt;99999.99,"Other monthly costs: use 99,999.99 or less. ","")))))&amp;IF(SettingsOK,"","Settings incomplete.")))</f>
        <v/>
      </c>
      <c r="T246" s="23" t="str">
        <f aca="false">IF(AND($A246="",$B246="",$C246="",$D246="",$E246="",$F246="",$G246="",$H246=""),"",IF(Review!$B$5="Check inputs",IF($R246="Check inputs",ROW(),""),IF($R246="Check inputs",IF(Review!$B$5="All accounts",-2000000000000000+ROW(),""),IF(AND(Review!$B$5="Needs review",$R246="Meets your target"),"",IF($R246="No fee entered",-1000000000000000+ROW(),$N246/$B246+ROW()/1000000000)))))</f>
        <v/>
      </c>
    </row>
    <row r="247" customFormat="false" ht="15" hidden="false" customHeight="false" outlineLevel="0" collapsed="false">
      <c r="A247" s="14"/>
      <c r="B247" s="15"/>
      <c r="C247" s="16"/>
      <c r="D247" s="14"/>
      <c r="E247" s="14"/>
      <c r="F247" s="14"/>
      <c r="G247" s="15"/>
      <c r="H247" s="15"/>
      <c r="I247" s="17" t="str">
        <f aca="false">IF(OR(AND($A247="",$B247="",$C247="",$D247="",$E247="",$F247="",$G247="",$H247=""),NOT($S247="")),"",ROUND($C247*($D247+$E247)/60,4))</f>
        <v/>
      </c>
      <c r="J247" s="18" t="str">
        <f aca="false">IF(OR(AND($A247="",$B247="",$C247="",$D247="",$E247="",$F247="",$G247="",$H247=""),NOT($S247="")),"",ROUND(ROUND($C247*($D247+$E247)/60*$B$5,9),2))</f>
        <v/>
      </c>
      <c r="K247" s="18" t="str">
        <f aca="false">IF(OR(AND($A247="",$B247="",$C247="",$D247="",$E247="",$F247="",$G247="",$H247=""),NOT($S247="")),"",ROUND(ROUND($C247*$F247*$B$6,9),2))</f>
        <v/>
      </c>
      <c r="L247" s="18" t="str">
        <f aca="false">IF(OR(AND($A247="",$B247="",$C247="",$D247="",$E247="",$F247="",$G247="",$H247=""),NOT($S247="")),"",ROUND(ROUND($C247*$G247,9),2))</f>
        <v/>
      </c>
      <c r="M247" s="19" t="str">
        <f aca="false">IF(OR(AND($A247="",$B247="",$C247="",$D247="",$E247="",$F247="",$G247="",$H247=""),NOT($S247="")),"",ROUND($J247+$K247+$L247+$H247,2))</f>
        <v/>
      </c>
      <c r="N247" s="19" t="str">
        <f aca="false">IF(OR(AND($A247="",$B247="",$C247="",$D247="",$E247="",$F247="",$G247="",$H247=""),NOT($S247="")),"",ROUND($B247-$M247,2))</f>
        <v/>
      </c>
      <c r="O247" s="20" t="str">
        <f aca="false">IF(OR(AND($A247="",$B247="",$C247="",$D247="",$E247="",$F247="",$G247="",$H247=""),NOT($S247="")),"",IF($B247=0,"n/a",INT(ROUND($N247/$B247*10000,6))/10000))</f>
        <v/>
      </c>
      <c r="P247" s="18" t="str">
        <f aca="false">IF(OR(AND($A247="",$B247="",$C247="",$D247="",$E247="",$F247="",$G247="",$H247=""),NOT($S247="")),"",ROUNDUP(ROUND($M247*10000/(10000-TargetH),9),2))</f>
        <v/>
      </c>
      <c r="Q247" s="18" t="str">
        <f aca="false">IF(OR(AND($A247="",$B247="",$C247="",$D247="",$E247="",$F247="",$G247="",$H247=""),NOT($S247="")),"",MAX(0,ROUND($P247-$B247,2)))</f>
        <v/>
      </c>
      <c r="R247" s="21" t="str">
        <f aca="false">IF(AND($A247="",$B247="",$C247="",$D247="",$E247="",$F247="",$G247="",$H247=""),"",IF(NOT($S247=""),"Check inputs",IF($B247=0,"No fee entered",IF($N247&lt;0,"Losing money on entered costs",IF(ROUND($N247*100,0)*10000&lt;TargetH*ROUND($B247*100,0),"Below your target","Meets your target")))))</f>
        <v/>
      </c>
      <c r="S247" s="22" t="str">
        <f aca="false">IF(AND($A247="",$B247="",$C247="",$D247="",$E247="",$F247="",$G247="",$H247=""),"",TRIM(IF($A247="","Customer/site label is missing. ","")&amp;IF($B247="","Monthly fee is missing. ",IF(NOT(ISNUMBER($B247)),"Monthly fee must be a number. ",IF($B247&lt;0,"Monthly fee can't be negative. ",IF(ROUND($B247,2)&lt;&gt;$B247,"Monthly fee: use up to 2 decimal places. ",IF($B247&gt;99999.99,"Monthly fee: use 99,999.99 or less. ","")))))&amp;IF($C247="","Visits per month is missing. ",IF(NOT(ISNUMBER($C247)),"Visits per month must be a number. ",IF($C247&lt;0,"Visits per month can't be negative. ",IF(ROUND($C247,3)&lt;&gt;$C247,"Visits per month: use up to 3 decimal places. ",IF($C247=0,"Visits per month must be more than 0. ",IF($C247&gt;31,"Visits per month: use 31 or less. ",""))))))&amp;IF($D247="","Service minutes per visit is missing. ",IF(NOT(ISNUMBER($D247)),"Service minutes per visit must be a number. ",IF($D247&lt;0,"Service minutes per visit can't be negative. ",IF(ROUND($D247,2)&lt;&gt;$D247,"Service minutes per visit: use up to 2 decimal places. ",IF($D247=0,"Service minutes per visit must be more than 0. ",IF($D247&gt;600,"Service minutes per visit: use 600 or less. ",""))))))&amp;IF($E247="","Drive minutes per visit is missing. ",IF(NOT(ISNUMBER($E247)),"Drive minutes per visit must be a number. ",IF($E247&lt;0,"Drive minutes per visit can't be negative. ",IF(ROUND($E247,2)&lt;&gt;$E247,"Drive minutes per visit: use up to 2 decimal places. ",IF($E247&gt;600,"Drive minutes per visit: use 600 or less. ","")))))&amp;IF($F247="","Drive miles per visit is missing. ",IF(NOT(ISNUMBER($F247)),"Drive miles per visit must be a number. ",IF($F247&lt;0,"Drive miles per visit can't be negative. ",IF(ROUND($F247,2)&lt;&gt;$F247,"Drive miles per visit: use up to 2 decimal places. ",IF($F247&gt;1000,"Drive miles per visit: use 1,000 or less. ","")))))&amp;IF($G247="","Chemicals per visit is missing. ",IF(NOT(ISNUMBER($G247)),"Chemicals per visit must be a number. ",IF($G247&lt;0,"Chemicals per visit can't be negative. ",IF(ROUND($G247,2)&lt;&gt;$G247,"Chemicals per visit: use up to 2 decimal places. ",IF($G247&gt;9999.99,"Chemicals per visit: use 9,999.99 or less. ","")))))&amp;IF($H247="","Other monthly costs is missing. ",IF(NOT(ISNUMBER($H247)),"Other monthly costs must be a number. ",IF($H247&lt;0,"Other monthly costs can't be negative. ",IF(ROUND($H247,2)&lt;&gt;$H247,"Other monthly costs: use up to 2 decimal places. ",IF($H247&gt;99999.99,"Other monthly costs: use 99,999.99 or less. ","")))))&amp;IF(SettingsOK,"","Settings incomplete.")))</f>
        <v/>
      </c>
      <c r="T247" s="23" t="str">
        <f aca="false">IF(AND($A247="",$B247="",$C247="",$D247="",$E247="",$F247="",$G247="",$H247=""),"",IF(Review!$B$5="Check inputs",IF($R247="Check inputs",ROW(),""),IF($R247="Check inputs",IF(Review!$B$5="All accounts",-2000000000000000+ROW(),""),IF(AND(Review!$B$5="Needs review",$R247="Meets your target"),"",IF($R247="No fee entered",-1000000000000000+ROW(),$N247/$B247+ROW()/1000000000)))))</f>
        <v/>
      </c>
    </row>
    <row r="248" customFormat="false" ht="15" hidden="false" customHeight="false" outlineLevel="0" collapsed="false">
      <c r="A248" s="14"/>
      <c r="B248" s="15"/>
      <c r="C248" s="16"/>
      <c r="D248" s="14"/>
      <c r="E248" s="14"/>
      <c r="F248" s="14"/>
      <c r="G248" s="15"/>
      <c r="H248" s="15"/>
      <c r="I248" s="17" t="str">
        <f aca="false">IF(OR(AND($A248="",$B248="",$C248="",$D248="",$E248="",$F248="",$G248="",$H248=""),NOT($S248="")),"",ROUND($C248*($D248+$E248)/60,4))</f>
        <v/>
      </c>
      <c r="J248" s="18" t="str">
        <f aca="false">IF(OR(AND($A248="",$B248="",$C248="",$D248="",$E248="",$F248="",$G248="",$H248=""),NOT($S248="")),"",ROUND(ROUND($C248*($D248+$E248)/60*$B$5,9),2))</f>
        <v/>
      </c>
      <c r="K248" s="18" t="str">
        <f aca="false">IF(OR(AND($A248="",$B248="",$C248="",$D248="",$E248="",$F248="",$G248="",$H248=""),NOT($S248="")),"",ROUND(ROUND($C248*$F248*$B$6,9),2))</f>
        <v/>
      </c>
      <c r="L248" s="18" t="str">
        <f aca="false">IF(OR(AND($A248="",$B248="",$C248="",$D248="",$E248="",$F248="",$G248="",$H248=""),NOT($S248="")),"",ROUND(ROUND($C248*$G248,9),2))</f>
        <v/>
      </c>
      <c r="M248" s="19" t="str">
        <f aca="false">IF(OR(AND($A248="",$B248="",$C248="",$D248="",$E248="",$F248="",$G248="",$H248=""),NOT($S248="")),"",ROUND($J248+$K248+$L248+$H248,2))</f>
        <v/>
      </c>
      <c r="N248" s="19" t="str">
        <f aca="false">IF(OR(AND($A248="",$B248="",$C248="",$D248="",$E248="",$F248="",$G248="",$H248=""),NOT($S248="")),"",ROUND($B248-$M248,2))</f>
        <v/>
      </c>
      <c r="O248" s="20" t="str">
        <f aca="false">IF(OR(AND($A248="",$B248="",$C248="",$D248="",$E248="",$F248="",$G248="",$H248=""),NOT($S248="")),"",IF($B248=0,"n/a",INT(ROUND($N248/$B248*10000,6))/10000))</f>
        <v/>
      </c>
      <c r="P248" s="18" t="str">
        <f aca="false">IF(OR(AND($A248="",$B248="",$C248="",$D248="",$E248="",$F248="",$G248="",$H248=""),NOT($S248="")),"",ROUNDUP(ROUND($M248*10000/(10000-TargetH),9),2))</f>
        <v/>
      </c>
      <c r="Q248" s="18" t="str">
        <f aca="false">IF(OR(AND($A248="",$B248="",$C248="",$D248="",$E248="",$F248="",$G248="",$H248=""),NOT($S248="")),"",MAX(0,ROUND($P248-$B248,2)))</f>
        <v/>
      </c>
      <c r="R248" s="21" t="str">
        <f aca="false">IF(AND($A248="",$B248="",$C248="",$D248="",$E248="",$F248="",$G248="",$H248=""),"",IF(NOT($S248=""),"Check inputs",IF($B248=0,"No fee entered",IF($N248&lt;0,"Losing money on entered costs",IF(ROUND($N248*100,0)*10000&lt;TargetH*ROUND($B248*100,0),"Below your target","Meets your target")))))</f>
        <v/>
      </c>
      <c r="S248" s="22" t="str">
        <f aca="false">IF(AND($A248="",$B248="",$C248="",$D248="",$E248="",$F248="",$G248="",$H248=""),"",TRIM(IF($A248="","Customer/site label is missing. ","")&amp;IF($B248="","Monthly fee is missing. ",IF(NOT(ISNUMBER($B248)),"Monthly fee must be a number. ",IF($B248&lt;0,"Monthly fee can't be negative. ",IF(ROUND($B248,2)&lt;&gt;$B248,"Monthly fee: use up to 2 decimal places. ",IF($B248&gt;99999.99,"Monthly fee: use 99,999.99 or less. ","")))))&amp;IF($C248="","Visits per month is missing. ",IF(NOT(ISNUMBER($C248)),"Visits per month must be a number. ",IF($C248&lt;0,"Visits per month can't be negative. ",IF(ROUND($C248,3)&lt;&gt;$C248,"Visits per month: use up to 3 decimal places. ",IF($C248=0,"Visits per month must be more than 0. ",IF($C248&gt;31,"Visits per month: use 31 or less. ",""))))))&amp;IF($D248="","Service minutes per visit is missing. ",IF(NOT(ISNUMBER($D248)),"Service minutes per visit must be a number. ",IF($D248&lt;0,"Service minutes per visit can't be negative. ",IF(ROUND($D248,2)&lt;&gt;$D248,"Service minutes per visit: use up to 2 decimal places. ",IF($D248=0,"Service minutes per visit must be more than 0. ",IF($D248&gt;600,"Service minutes per visit: use 600 or less. ",""))))))&amp;IF($E248="","Drive minutes per visit is missing. ",IF(NOT(ISNUMBER($E248)),"Drive minutes per visit must be a number. ",IF($E248&lt;0,"Drive minutes per visit can't be negative. ",IF(ROUND($E248,2)&lt;&gt;$E248,"Drive minutes per visit: use up to 2 decimal places. ",IF($E248&gt;600,"Drive minutes per visit: use 600 or less. ","")))))&amp;IF($F248="","Drive miles per visit is missing. ",IF(NOT(ISNUMBER($F248)),"Drive miles per visit must be a number. ",IF($F248&lt;0,"Drive miles per visit can't be negative. ",IF(ROUND($F248,2)&lt;&gt;$F248,"Drive miles per visit: use up to 2 decimal places. ",IF($F248&gt;1000,"Drive miles per visit: use 1,000 or less. ","")))))&amp;IF($G248="","Chemicals per visit is missing. ",IF(NOT(ISNUMBER($G248)),"Chemicals per visit must be a number. ",IF($G248&lt;0,"Chemicals per visit can't be negative. ",IF(ROUND($G248,2)&lt;&gt;$G248,"Chemicals per visit: use up to 2 decimal places. ",IF($G248&gt;9999.99,"Chemicals per visit: use 9,999.99 or less. ","")))))&amp;IF($H248="","Other monthly costs is missing. ",IF(NOT(ISNUMBER($H248)),"Other monthly costs must be a number. ",IF($H248&lt;0,"Other monthly costs can't be negative. ",IF(ROUND($H248,2)&lt;&gt;$H248,"Other monthly costs: use up to 2 decimal places. ",IF($H248&gt;99999.99,"Other monthly costs: use 99,999.99 or less. ","")))))&amp;IF(SettingsOK,"","Settings incomplete.")))</f>
        <v/>
      </c>
      <c r="T248" s="23" t="str">
        <f aca="false">IF(AND($A248="",$B248="",$C248="",$D248="",$E248="",$F248="",$G248="",$H248=""),"",IF(Review!$B$5="Check inputs",IF($R248="Check inputs",ROW(),""),IF($R248="Check inputs",IF(Review!$B$5="All accounts",-2000000000000000+ROW(),""),IF(AND(Review!$B$5="Needs review",$R248="Meets your target"),"",IF($R248="No fee entered",-1000000000000000+ROW(),$N248/$B248+ROW()/1000000000)))))</f>
        <v/>
      </c>
    </row>
    <row r="249" customFormat="false" ht="15" hidden="false" customHeight="false" outlineLevel="0" collapsed="false">
      <c r="A249" s="14"/>
      <c r="B249" s="15"/>
      <c r="C249" s="16"/>
      <c r="D249" s="14"/>
      <c r="E249" s="14"/>
      <c r="F249" s="14"/>
      <c r="G249" s="15"/>
      <c r="H249" s="15"/>
      <c r="I249" s="17" t="str">
        <f aca="false">IF(OR(AND($A249="",$B249="",$C249="",$D249="",$E249="",$F249="",$G249="",$H249=""),NOT($S249="")),"",ROUND($C249*($D249+$E249)/60,4))</f>
        <v/>
      </c>
      <c r="J249" s="18" t="str">
        <f aca="false">IF(OR(AND($A249="",$B249="",$C249="",$D249="",$E249="",$F249="",$G249="",$H249=""),NOT($S249="")),"",ROUND(ROUND($C249*($D249+$E249)/60*$B$5,9),2))</f>
        <v/>
      </c>
      <c r="K249" s="18" t="str">
        <f aca="false">IF(OR(AND($A249="",$B249="",$C249="",$D249="",$E249="",$F249="",$G249="",$H249=""),NOT($S249="")),"",ROUND(ROUND($C249*$F249*$B$6,9),2))</f>
        <v/>
      </c>
      <c r="L249" s="18" t="str">
        <f aca="false">IF(OR(AND($A249="",$B249="",$C249="",$D249="",$E249="",$F249="",$G249="",$H249=""),NOT($S249="")),"",ROUND(ROUND($C249*$G249,9),2))</f>
        <v/>
      </c>
      <c r="M249" s="19" t="str">
        <f aca="false">IF(OR(AND($A249="",$B249="",$C249="",$D249="",$E249="",$F249="",$G249="",$H249=""),NOT($S249="")),"",ROUND($J249+$K249+$L249+$H249,2))</f>
        <v/>
      </c>
      <c r="N249" s="19" t="str">
        <f aca="false">IF(OR(AND($A249="",$B249="",$C249="",$D249="",$E249="",$F249="",$G249="",$H249=""),NOT($S249="")),"",ROUND($B249-$M249,2))</f>
        <v/>
      </c>
      <c r="O249" s="20" t="str">
        <f aca="false">IF(OR(AND($A249="",$B249="",$C249="",$D249="",$E249="",$F249="",$G249="",$H249=""),NOT($S249="")),"",IF($B249=0,"n/a",INT(ROUND($N249/$B249*10000,6))/10000))</f>
        <v/>
      </c>
      <c r="P249" s="18" t="str">
        <f aca="false">IF(OR(AND($A249="",$B249="",$C249="",$D249="",$E249="",$F249="",$G249="",$H249=""),NOT($S249="")),"",ROUNDUP(ROUND($M249*10000/(10000-TargetH),9),2))</f>
        <v/>
      </c>
      <c r="Q249" s="18" t="str">
        <f aca="false">IF(OR(AND($A249="",$B249="",$C249="",$D249="",$E249="",$F249="",$G249="",$H249=""),NOT($S249="")),"",MAX(0,ROUND($P249-$B249,2)))</f>
        <v/>
      </c>
      <c r="R249" s="21" t="str">
        <f aca="false">IF(AND($A249="",$B249="",$C249="",$D249="",$E249="",$F249="",$G249="",$H249=""),"",IF(NOT($S249=""),"Check inputs",IF($B249=0,"No fee entered",IF($N249&lt;0,"Losing money on entered costs",IF(ROUND($N249*100,0)*10000&lt;TargetH*ROUND($B249*100,0),"Below your target","Meets your target")))))</f>
        <v/>
      </c>
      <c r="S249" s="22" t="str">
        <f aca="false">IF(AND($A249="",$B249="",$C249="",$D249="",$E249="",$F249="",$G249="",$H249=""),"",TRIM(IF($A249="","Customer/site label is missing. ","")&amp;IF($B249="","Monthly fee is missing. ",IF(NOT(ISNUMBER($B249)),"Monthly fee must be a number. ",IF($B249&lt;0,"Monthly fee can't be negative. ",IF(ROUND($B249,2)&lt;&gt;$B249,"Monthly fee: use up to 2 decimal places. ",IF($B249&gt;99999.99,"Monthly fee: use 99,999.99 or less. ","")))))&amp;IF($C249="","Visits per month is missing. ",IF(NOT(ISNUMBER($C249)),"Visits per month must be a number. ",IF($C249&lt;0,"Visits per month can't be negative. ",IF(ROUND($C249,3)&lt;&gt;$C249,"Visits per month: use up to 3 decimal places. ",IF($C249=0,"Visits per month must be more than 0. ",IF($C249&gt;31,"Visits per month: use 31 or less. ",""))))))&amp;IF($D249="","Service minutes per visit is missing. ",IF(NOT(ISNUMBER($D249)),"Service minutes per visit must be a number. ",IF($D249&lt;0,"Service minutes per visit can't be negative. ",IF(ROUND($D249,2)&lt;&gt;$D249,"Service minutes per visit: use up to 2 decimal places. ",IF($D249=0,"Service minutes per visit must be more than 0. ",IF($D249&gt;600,"Service minutes per visit: use 600 or less. ",""))))))&amp;IF($E249="","Drive minutes per visit is missing. ",IF(NOT(ISNUMBER($E249)),"Drive minutes per visit must be a number. ",IF($E249&lt;0,"Drive minutes per visit can't be negative. ",IF(ROUND($E249,2)&lt;&gt;$E249,"Drive minutes per visit: use up to 2 decimal places. ",IF($E249&gt;600,"Drive minutes per visit: use 600 or less. ","")))))&amp;IF($F249="","Drive miles per visit is missing. ",IF(NOT(ISNUMBER($F249)),"Drive miles per visit must be a number. ",IF($F249&lt;0,"Drive miles per visit can't be negative. ",IF(ROUND($F249,2)&lt;&gt;$F249,"Drive miles per visit: use up to 2 decimal places. ",IF($F249&gt;1000,"Drive miles per visit: use 1,000 or less. ","")))))&amp;IF($G249="","Chemicals per visit is missing. ",IF(NOT(ISNUMBER($G249)),"Chemicals per visit must be a number. ",IF($G249&lt;0,"Chemicals per visit can't be negative. ",IF(ROUND($G249,2)&lt;&gt;$G249,"Chemicals per visit: use up to 2 decimal places. ",IF($G249&gt;9999.99,"Chemicals per visit: use 9,999.99 or less. ","")))))&amp;IF($H249="","Other monthly costs is missing. ",IF(NOT(ISNUMBER($H249)),"Other monthly costs must be a number. ",IF($H249&lt;0,"Other monthly costs can't be negative. ",IF(ROUND($H249,2)&lt;&gt;$H249,"Other monthly costs: use up to 2 decimal places. ",IF($H249&gt;99999.99,"Other monthly costs: use 99,999.99 or less. ","")))))&amp;IF(SettingsOK,"","Settings incomplete.")))</f>
        <v/>
      </c>
      <c r="T249" s="23" t="str">
        <f aca="false">IF(AND($A249="",$B249="",$C249="",$D249="",$E249="",$F249="",$G249="",$H249=""),"",IF(Review!$B$5="Check inputs",IF($R249="Check inputs",ROW(),""),IF($R249="Check inputs",IF(Review!$B$5="All accounts",-2000000000000000+ROW(),""),IF(AND(Review!$B$5="Needs review",$R249="Meets your target"),"",IF($R249="No fee entered",-1000000000000000+ROW(),$N249/$B249+ROW()/1000000000)))))</f>
        <v/>
      </c>
    </row>
    <row r="250" customFormat="false" ht="15" hidden="false" customHeight="false" outlineLevel="0" collapsed="false">
      <c r="A250" s="14"/>
      <c r="B250" s="15"/>
      <c r="C250" s="16"/>
      <c r="D250" s="14"/>
      <c r="E250" s="14"/>
      <c r="F250" s="14"/>
      <c r="G250" s="15"/>
      <c r="H250" s="15"/>
      <c r="I250" s="17" t="str">
        <f aca="false">IF(OR(AND($A250="",$B250="",$C250="",$D250="",$E250="",$F250="",$G250="",$H250=""),NOT($S250="")),"",ROUND($C250*($D250+$E250)/60,4))</f>
        <v/>
      </c>
      <c r="J250" s="18" t="str">
        <f aca="false">IF(OR(AND($A250="",$B250="",$C250="",$D250="",$E250="",$F250="",$G250="",$H250=""),NOT($S250="")),"",ROUND(ROUND($C250*($D250+$E250)/60*$B$5,9),2))</f>
        <v/>
      </c>
      <c r="K250" s="18" t="str">
        <f aca="false">IF(OR(AND($A250="",$B250="",$C250="",$D250="",$E250="",$F250="",$G250="",$H250=""),NOT($S250="")),"",ROUND(ROUND($C250*$F250*$B$6,9),2))</f>
        <v/>
      </c>
      <c r="L250" s="18" t="str">
        <f aca="false">IF(OR(AND($A250="",$B250="",$C250="",$D250="",$E250="",$F250="",$G250="",$H250=""),NOT($S250="")),"",ROUND(ROUND($C250*$G250,9),2))</f>
        <v/>
      </c>
      <c r="M250" s="19" t="str">
        <f aca="false">IF(OR(AND($A250="",$B250="",$C250="",$D250="",$E250="",$F250="",$G250="",$H250=""),NOT($S250="")),"",ROUND($J250+$K250+$L250+$H250,2))</f>
        <v/>
      </c>
      <c r="N250" s="19" t="str">
        <f aca="false">IF(OR(AND($A250="",$B250="",$C250="",$D250="",$E250="",$F250="",$G250="",$H250=""),NOT($S250="")),"",ROUND($B250-$M250,2))</f>
        <v/>
      </c>
      <c r="O250" s="20" t="str">
        <f aca="false">IF(OR(AND($A250="",$B250="",$C250="",$D250="",$E250="",$F250="",$G250="",$H250=""),NOT($S250="")),"",IF($B250=0,"n/a",INT(ROUND($N250/$B250*10000,6))/10000))</f>
        <v/>
      </c>
      <c r="P250" s="18" t="str">
        <f aca="false">IF(OR(AND($A250="",$B250="",$C250="",$D250="",$E250="",$F250="",$G250="",$H250=""),NOT($S250="")),"",ROUNDUP(ROUND($M250*10000/(10000-TargetH),9),2))</f>
        <v/>
      </c>
      <c r="Q250" s="18" t="str">
        <f aca="false">IF(OR(AND($A250="",$B250="",$C250="",$D250="",$E250="",$F250="",$G250="",$H250=""),NOT($S250="")),"",MAX(0,ROUND($P250-$B250,2)))</f>
        <v/>
      </c>
      <c r="R250" s="21" t="str">
        <f aca="false">IF(AND($A250="",$B250="",$C250="",$D250="",$E250="",$F250="",$G250="",$H250=""),"",IF(NOT($S250=""),"Check inputs",IF($B250=0,"No fee entered",IF($N250&lt;0,"Losing money on entered costs",IF(ROUND($N250*100,0)*10000&lt;TargetH*ROUND($B250*100,0),"Below your target","Meets your target")))))</f>
        <v/>
      </c>
      <c r="S250" s="22" t="str">
        <f aca="false">IF(AND($A250="",$B250="",$C250="",$D250="",$E250="",$F250="",$G250="",$H250=""),"",TRIM(IF($A250="","Customer/site label is missing. ","")&amp;IF($B250="","Monthly fee is missing. ",IF(NOT(ISNUMBER($B250)),"Monthly fee must be a number. ",IF($B250&lt;0,"Monthly fee can't be negative. ",IF(ROUND($B250,2)&lt;&gt;$B250,"Monthly fee: use up to 2 decimal places. ",IF($B250&gt;99999.99,"Monthly fee: use 99,999.99 or less. ","")))))&amp;IF($C250="","Visits per month is missing. ",IF(NOT(ISNUMBER($C250)),"Visits per month must be a number. ",IF($C250&lt;0,"Visits per month can't be negative. ",IF(ROUND($C250,3)&lt;&gt;$C250,"Visits per month: use up to 3 decimal places. ",IF($C250=0,"Visits per month must be more than 0. ",IF($C250&gt;31,"Visits per month: use 31 or less. ",""))))))&amp;IF($D250="","Service minutes per visit is missing. ",IF(NOT(ISNUMBER($D250)),"Service minutes per visit must be a number. ",IF($D250&lt;0,"Service minutes per visit can't be negative. ",IF(ROUND($D250,2)&lt;&gt;$D250,"Service minutes per visit: use up to 2 decimal places. ",IF($D250=0,"Service minutes per visit must be more than 0. ",IF($D250&gt;600,"Service minutes per visit: use 600 or less. ",""))))))&amp;IF($E250="","Drive minutes per visit is missing. ",IF(NOT(ISNUMBER($E250)),"Drive minutes per visit must be a number. ",IF($E250&lt;0,"Drive minutes per visit can't be negative. ",IF(ROUND($E250,2)&lt;&gt;$E250,"Drive minutes per visit: use up to 2 decimal places. ",IF($E250&gt;600,"Drive minutes per visit: use 600 or less. ","")))))&amp;IF($F250="","Drive miles per visit is missing. ",IF(NOT(ISNUMBER($F250)),"Drive miles per visit must be a number. ",IF($F250&lt;0,"Drive miles per visit can't be negative. ",IF(ROUND($F250,2)&lt;&gt;$F250,"Drive miles per visit: use up to 2 decimal places. ",IF($F250&gt;1000,"Drive miles per visit: use 1,000 or less. ","")))))&amp;IF($G250="","Chemicals per visit is missing. ",IF(NOT(ISNUMBER($G250)),"Chemicals per visit must be a number. ",IF($G250&lt;0,"Chemicals per visit can't be negative. ",IF(ROUND($G250,2)&lt;&gt;$G250,"Chemicals per visit: use up to 2 decimal places. ",IF($G250&gt;9999.99,"Chemicals per visit: use 9,999.99 or less. ","")))))&amp;IF($H250="","Other monthly costs is missing. ",IF(NOT(ISNUMBER($H250)),"Other monthly costs must be a number. ",IF($H250&lt;0,"Other monthly costs can't be negative. ",IF(ROUND($H250,2)&lt;&gt;$H250,"Other monthly costs: use up to 2 decimal places. ",IF($H250&gt;99999.99,"Other monthly costs: use 99,999.99 or less. ","")))))&amp;IF(SettingsOK,"","Settings incomplete.")))</f>
        <v/>
      </c>
      <c r="T250" s="23" t="str">
        <f aca="false">IF(AND($A250="",$B250="",$C250="",$D250="",$E250="",$F250="",$G250="",$H250=""),"",IF(Review!$B$5="Check inputs",IF($R250="Check inputs",ROW(),""),IF($R250="Check inputs",IF(Review!$B$5="All accounts",-2000000000000000+ROW(),""),IF(AND(Review!$B$5="Needs review",$R250="Meets your target"),"",IF($R250="No fee entered",-1000000000000000+ROW(),$N250/$B250+ROW()/1000000000)))))</f>
        <v/>
      </c>
    </row>
    <row r="251" customFormat="false" ht="15" hidden="false" customHeight="false" outlineLevel="0" collapsed="false">
      <c r="A251" s="14"/>
      <c r="B251" s="15"/>
      <c r="C251" s="16"/>
      <c r="D251" s="14"/>
      <c r="E251" s="14"/>
      <c r="F251" s="14"/>
      <c r="G251" s="15"/>
      <c r="H251" s="15"/>
      <c r="I251" s="17" t="str">
        <f aca="false">IF(OR(AND($A251="",$B251="",$C251="",$D251="",$E251="",$F251="",$G251="",$H251=""),NOT($S251="")),"",ROUND($C251*($D251+$E251)/60,4))</f>
        <v/>
      </c>
      <c r="J251" s="18" t="str">
        <f aca="false">IF(OR(AND($A251="",$B251="",$C251="",$D251="",$E251="",$F251="",$G251="",$H251=""),NOT($S251="")),"",ROUND(ROUND($C251*($D251+$E251)/60*$B$5,9),2))</f>
        <v/>
      </c>
      <c r="K251" s="18" t="str">
        <f aca="false">IF(OR(AND($A251="",$B251="",$C251="",$D251="",$E251="",$F251="",$G251="",$H251=""),NOT($S251="")),"",ROUND(ROUND($C251*$F251*$B$6,9),2))</f>
        <v/>
      </c>
      <c r="L251" s="18" t="str">
        <f aca="false">IF(OR(AND($A251="",$B251="",$C251="",$D251="",$E251="",$F251="",$G251="",$H251=""),NOT($S251="")),"",ROUND(ROUND($C251*$G251,9),2))</f>
        <v/>
      </c>
      <c r="M251" s="19" t="str">
        <f aca="false">IF(OR(AND($A251="",$B251="",$C251="",$D251="",$E251="",$F251="",$G251="",$H251=""),NOT($S251="")),"",ROUND($J251+$K251+$L251+$H251,2))</f>
        <v/>
      </c>
      <c r="N251" s="19" t="str">
        <f aca="false">IF(OR(AND($A251="",$B251="",$C251="",$D251="",$E251="",$F251="",$G251="",$H251=""),NOT($S251="")),"",ROUND($B251-$M251,2))</f>
        <v/>
      </c>
      <c r="O251" s="20" t="str">
        <f aca="false">IF(OR(AND($A251="",$B251="",$C251="",$D251="",$E251="",$F251="",$G251="",$H251=""),NOT($S251="")),"",IF($B251=0,"n/a",INT(ROUND($N251/$B251*10000,6))/10000))</f>
        <v/>
      </c>
      <c r="P251" s="18" t="str">
        <f aca="false">IF(OR(AND($A251="",$B251="",$C251="",$D251="",$E251="",$F251="",$G251="",$H251=""),NOT($S251="")),"",ROUNDUP(ROUND($M251*10000/(10000-TargetH),9),2))</f>
        <v/>
      </c>
      <c r="Q251" s="18" t="str">
        <f aca="false">IF(OR(AND($A251="",$B251="",$C251="",$D251="",$E251="",$F251="",$G251="",$H251=""),NOT($S251="")),"",MAX(0,ROUND($P251-$B251,2)))</f>
        <v/>
      </c>
      <c r="R251" s="21" t="str">
        <f aca="false">IF(AND($A251="",$B251="",$C251="",$D251="",$E251="",$F251="",$G251="",$H251=""),"",IF(NOT($S251=""),"Check inputs",IF($B251=0,"No fee entered",IF($N251&lt;0,"Losing money on entered costs",IF(ROUND($N251*100,0)*10000&lt;TargetH*ROUND($B251*100,0),"Below your target","Meets your target")))))</f>
        <v/>
      </c>
      <c r="S251" s="22" t="str">
        <f aca="false">IF(AND($A251="",$B251="",$C251="",$D251="",$E251="",$F251="",$G251="",$H251=""),"",TRIM(IF($A251="","Customer/site label is missing. ","")&amp;IF($B251="","Monthly fee is missing. ",IF(NOT(ISNUMBER($B251)),"Monthly fee must be a number. ",IF($B251&lt;0,"Monthly fee can't be negative. ",IF(ROUND($B251,2)&lt;&gt;$B251,"Monthly fee: use up to 2 decimal places. ",IF($B251&gt;99999.99,"Monthly fee: use 99,999.99 or less. ","")))))&amp;IF($C251="","Visits per month is missing. ",IF(NOT(ISNUMBER($C251)),"Visits per month must be a number. ",IF($C251&lt;0,"Visits per month can't be negative. ",IF(ROUND($C251,3)&lt;&gt;$C251,"Visits per month: use up to 3 decimal places. ",IF($C251=0,"Visits per month must be more than 0. ",IF($C251&gt;31,"Visits per month: use 31 or less. ",""))))))&amp;IF($D251="","Service minutes per visit is missing. ",IF(NOT(ISNUMBER($D251)),"Service minutes per visit must be a number. ",IF($D251&lt;0,"Service minutes per visit can't be negative. ",IF(ROUND($D251,2)&lt;&gt;$D251,"Service minutes per visit: use up to 2 decimal places. ",IF($D251=0,"Service minutes per visit must be more than 0. ",IF($D251&gt;600,"Service minutes per visit: use 600 or less. ",""))))))&amp;IF($E251="","Drive minutes per visit is missing. ",IF(NOT(ISNUMBER($E251)),"Drive minutes per visit must be a number. ",IF($E251&lt;0,"Drive minutes per visit can't be negative. ",IF(ROUND($E251,2)&lt;&gt;$E251,"Drive minutes per visit: use up to 2 decimal places. ",IF($E251&gt;600,"Drive minutes per visit: use 600 or less. ","")))))&amp;IF($F251="","Drive miles per visit is missing. ",IF(NOT(ISNUMBER($F251)),"Drive miles per visit must be a number. ",IF($F251&lt;0,"Drive miles per visit can't be negative. ",IF(ROUND($F251,2)&lt;&gt;$F251,"Drive miles per visit: use up to 2 decimal places. ",IF($F251&gt;1000,"Drive miles per visit: use 1,000 or less. ","")))))&amp;IF($G251="","Chemicals per visit is missing. ",IF(NOT(ISNUMBER($G251)),"Chemicals per visit must be a number. ",IF($G251&lt;0,"Chemicals per visit can't be negative. ",IF(ROUND($G251,2)&lt;&gt;$G251,"Chemicals per visit: use up to 2 decimal places. ",IF($G251&gt;9999.99,"Chemicals per visit: use 9,999.99 or less. ","")))))&amp;IF($H251="","Other monthly costs is missing. ",IF(NOT(ISNUMBER($H251)),"Other monthly costs must be a number. ",IF($H251&lt;0,"Other monthly costs can't be negative. ",IF(ROUND($H251,2)&lt;&gt;$H251,"Other monthly costs: use up to 2 decimal places. ",IF($H251&gt;99999.99,"Other monthly costs: use 99,999.99 or less. ","")))))&amp;IF(SettingsOK,"","Settings incomplete.")))</f>
        <v/>
      </c>
      <c r="T251" s="23" t="str">
        <f aca="false">IF(AND($A251="",$B251="",$C251="",$D251="",$E251="",$F251="",$G251="",$H251=""),"",IF(Review!$B$5="Check inputs",IF($R251="Check inputs",ROW(),""),IF($R251="Check inputs",IF(Review!$B$5="All accounts",-2000000000000000+ROW(),""),IF(AND(Review!$B$5="Needs review",$R251="Meets your target"),"",IF($R251="No fee entered",-1000000000000000+ROW(),$N251/$B251+ROW()/1000000000)))))</f>
        <v/>
      </c>
    </row>
    <row r="252" customFormat="false" ht="15" hidden="false" customHeight="false" outlineLevel="0" collapsed="false">
      <c r="A252" s="14"/>
      <c r="B252" s="15"/>
      <c r="C252" s="16"/>
      <c r="D252" s="14"/>
      <c r="E252" s="14"/>
      <c r="F252" s="14"/>
      <c r="G252" s="15"/>
      <c r="H252" s="15"/>
      <c r="I252" s="17" t="str">
        <f aca="false">IF(OR(AND($A252="",$B252="",$C252="",$D252="",$E252="",$F252="",$G252="",$H252=""),NOT($S252="")),"",ROUND($C252*($D252+$E252)/60,4))</f>
        <v/>
      </c>
      <c r="J252" s="18" t="str">
        <f aca="false">IF(OR(AND($A252="",$B252="",$C252="",$D252="",$E252="",$F252="",$G252="",$H252=""),NOT($S252="")),"",ROUND(ROUND($C252*($D252+$E252)/60*$B$5,9),2))</f>
        <v/>
      </c>
      <c r="K252" s="18" t="str">
        <f aca="false">IF(OR(AND($A252="",$B252="",$C252="",$D252="",$E252="",$F252="",$G252="",$H252=""),NOT($S252="")),"",ROUND(ROUND($C252*$F252*$B$6,9),2))</f>
        <v/>
      </c>
      <c r="L252" s="18" t="str">
        <f aca="false">IF(OR(AND($A252="",$B252="",$C252="",$D252="",$E252="",$F252="",$G252="",$H252=""),NOT($S252="")),"",ROUND(ROUND($C252*$G252,9),2))</f>
        <v/>
      </c>
      <c r="M252" s="19" t="str">
        <f aca="false">IF(OR(AND($A252="",$B252="",$C252="",$D252="",$E252="",$F252="",$G252="",$H252=""),NOT($S252="")),"",ROUND($J252+$K252+$L252+$H252,2))</f>
        <v/>
      </c>
      <c r="N252" s="19" t="str">
        <f aca="false">IF(OR(AND($A252="",$B252="",$C252="",$D252="",$E252="",$F252="",$G252="",$H252=""),NOT($S252="")),"",ROUND($B252-$M252,2))</f>
        <v/>
      </c>
      <c r="O252" s="20" t="str">
        <f aca="false">IF(OR(AND($A252="",$B252="",$C252="",$D252="",$E252="",$F252="",$G252="",$H252=""),NOT($S252="")),"",IF($B252=0,"n/a",INT(ROUND($N252/$B252*10000,6))/10000))</f>
        <v/>
      </c>
      <c r="P252" s="18" t="str">
        <f aca="false">IF(OR(AND($A252="",$B252="",$C252="",$D252="",$E252="",$F252="",$G252="",$H252=""),NOT($S252="")),"",ROUNDUP(ROUND($M252*10000/(10000-TargetH),9),2))</f>
        <v/>
      </c>
      <c r="Q252" s="18" t="str">
        <f aca="false">IF(OR(AND($A252="",$B252="",$C252="",$D252="",$E252="",$F252="",$G252="",$H252=""),NOT($S252="")),"",MAX(0,ROUND($P252-$B252,2)))</f>
        <v/>
      </c>
      <c r="R252" s="21" t="str">
        <f aca="false">IF(AND($A252="",$B252="",$C252="",$D252="",$E252="",$F252="",$G252="",$H252=""),"",IF(NOT($S252=""),"Check inputs",IF($B252=0,"No fee entered",IF($N252&lt;0,"Losing money on entered costs",IF(ROUND($N252*100,0)*10000&lt;TargetH*ROUND($B252*100,0),"Below your target","Meets your target")))))</f>
        <v/>
      </c>
      <c r="S252" s="22" t="str">
        <f aca="false">IF(AND($A252="",$B252="",$C252="",$D252="",$E252="",$F252="",$G252="",$H252=""),"",TRIM(IF($A252="","Customer/site label is missing. ","")&amp;IF($B252="","Monthly fee is missing. ",IF(NOT(ISNUMBER($B252)),"Monthly fee must be a number. ",IF($B252&lt;0,"Monthly fee can't be negative. ",IF(ROUND($B252,2)&lt;&gt;$B252,"Monthly fee: use up to 2 decimal places. ",IF($B252&gt;99999.99,"Monthly fee: use 99,999.99 or less. ","")))))&amp;IF($C252="","Visits per month is missing. ",IF(NOT(ISNUMBER($C252)),"Visits per month must be a number. ",IF($C252&lt;0,"Visits per month can't be negative. ",IF(ROUND($C252,3)&lt;&gt;$C252,"Visits per month: use up to 3 decimal places. ",IF($C252=0,"Visits per month must be more than 0. ",IF($C252&gt;31,"Visits per month: use 31 or less. ",""))))))&amp;IF($D252="","Service minutes per visit is missing. ",IF(NOT(ISNUMBER($D252)),"Service minutes per visit must be a number. ",IF($D252&lt;0,"Service minutes per visit can't be negative. ",IF(ROUND($D252,2)&lt;&gt;$D252,"Service minutes per visit: use up to 2 decimal places. ",IF($D252=0,"Service minutes per visit must be more than 0. ",IF($D252&gt;600,"Service minutes per visit: use 600 or less. ",""))))))&amp;IF($E252="","Drive minutes per visit is missing. ",IF(NOT(ISNUMBER($E252)),"Drive minutes per visit must be a number. ",IF($E252&lt;0,"Drive minutes per visit can't be negative. ",IF(ROUND($E252,2)&lt;&gt;$E252,"Drive minutes per visit: use up to 2 decimal places. ",IF($E252&gt;600,"Drive minutes per visit: use 600 or less. ","")))))&amp;IF($F252="","Drive miles per visit is missing. ",IF(NOT(ISNUMBER($F252)),"Drive miles per visit must be a number. ",IF($F252&lt;0,"Drive miles per visit can't be negative. ",IF(ROUND($F252,2)&lt;&gt;$F252,"Drive miles per visit: use up to 2 decimal places. ",IF($F252&gt;1000,"Drive miles per visit: use 1,000 or less. ","")))))&amp;IF($G252="","Chemicals per visit is missing. ",IF(NOT(ISNUMBER($G252)),"Chemicals per visit must be a number. ",IF($G252&lt;0,"Chemicals per visit can't be negative. ",IF(ROUND($G252,2)&lt;&gt;$G252,"Chemicals per visit: use up to 2 decimal places. ",IF($G252&gt;9999.99,"Chemicals per visit: use 9,999.99 or less. ","")))))&amp;IF($H252="","Other monthly costs is missing. ",IF(NOT(ISNUMBER($H252)),"Other monthly costs must be a number. ",IF($H252&lt;0,"Other monthly costs can't be negative. ",IF(ROUND($H252,2)&lt;&gt;$H252,"Other monthly costs: use up to 2 decimal places. ",IF($H252&gt;99999.99,"Other monthly costs: use 99,999.99 or less. ","")))))&amp;IF(SettingsOK,"","Settings incomplete.")))</f>
        <v/>
      </c>
      <c r="T252" s="23" t="str">
        <f aca="false">IF(AND($A252="",$B252="",$C252="",$D252="",$E252="",$F252="",$G252="",$H252=""),"",IF(Review!$B$5="Check inputs",IF($R252="Check inputs",ROW(),""),IF($R252="Check inputs",IF(Review!$B$5="All accounts",-2000000000000000+ROW(),""),IF(AND(Review!$B$5="Needs review",$R252="Meets your target"),"",IF($R252="No fee entered",-1000000000000000+ROW(),$N252/$B252+ROW()/1000000000)))))</f>
        <v/>
      </c>
    </row>
    <row r="253" customFormat="false" ht="15" hidden="false" customHeight="false" outlineLevel="0" collapsed="false">
      <c r="A253" s="14"/>
      <c r="B253" s="15"/>
      <c r="C253" s="16"/>
      <c r="D253" s="14"/>
      <c r="E253" s="14"/>
      <c r="F253" s="14"/>
      <c r="G253" s="15"/>
      <c r="H253" s="15"/>
      <c r="I253" s="17" t="str">
        <f aca="false">IF(OR(AND($A253="",$B253="",$C253="",$D253="",$E253="",$F253="",$G253="",$H253=""),NOT($S253="")),"",ROUND($C253*($D253+$E253)/60,4))</f>
        <v/>
      </c>
      <c r="J253" s="18" t="str">
        <f aca="false">IF(OR(AND($A253="",$B253="",$C253="",$D253="",$E253="",$F253="",$G253="",$H253=""),NOT($S253="")),"",ROUND(ROUND($C253*($D253+$E253)/60*$B$5,9),2))</f>
        <v/>
      </c>
      <c r="K253" s="18" t="str">
        <f aca="false">IF(OR(AND($A253="",$B253="",$C253="",$D253="",$E253="",$F253="",$G253="",$H253=""),NOT($S253="")),"",ROUND(ROUND($C253*$F253*$B$6,9),2))</f>
        <v/>
      </c>
      <c r="L253" s="18" t="str">
        <f aca="false">IF(OR(AND($A253="",$B253="",$C253="",$D253="",$E253="",$F253="",$G253="",$H253=""),NOT($S253="")),"",ROUND(ROUND($C253*$G253,9),2))</f>
        <v/>
      </c>
      <c r="M253" s="19" t="str">
        <f aca="false">IF(OR(AND($A253="",$B253="",$C253="",$D253="",$E253="",$F253="",$G253="",$H253=""),NOT($S253="")),"",ROUND($J253+$K253+$L253+$H253,2))</f>
        <v/>
      </c>
      <c r="N253" s="19" t="str">
        <f aca="false">IF(OR(AND($A253="",$B253="",$C253="",$D253="",$E253="",$F253="",$G253="",$H253=""),NOT($S253="")),"",ROUND($B253-$M253,2))</f>
        <v/>
      </c>
      <c r="O253" s="20" t="str">
        <f aca="false">IF(OR(AND($A253="",$B253="",$C253="",$D253="",$E253="",$F253="",$G253="",$H253=""),NOT($S253="")),"",IF($B253=0,"n/a",INT(ROUND($N253/$B253*10000,6))/10000))</f>
        <v/>
      </c>
      <c r="P253" s="18" t="str">
        <f aca="false">IF(OR(AND($A253="",$B253="",$C253="",$D253="",$E253="",$F253="",$G253="",$H253=""),NOT($S253="")),"",ROUNDUP(ROUND($M253*10000/(10000-TargetH),9),2))</f>
        <v/>
      </c>
      <c r="Q253" s="18" t="str">
        <f aca="false">IF(OR(AND($A253="",$B253="",$C253="",$D253="",$E253="",$F253="",$G253="",$H253=""),NOT($S253="")),"",MAX(0,ROUND($P253-$B253,2)))</f>
        <v/>
      </c>
      <c r="R253" s="21" t="str">
        <f aca="false">IF(AND($A253="",$B253="",$C253="",$D253="",$E253="",$F253="",$G253="",$H253=""),"",IF(NOT($S253=""),"Check inputs",IF($B253=0,"No fee entered",IF($N253&lt;0,"Losing money on entered costs",IF(ROUND($N253*100,0)*10000&lt;TargetH*ROUND($B253*100,0),"Below your target","Meets your target")))))</f>
        <v/>
      </c>
      <c r="S253" s="22" t="str">
        <f aca="false">IF(AND($A253="",$B253="",$C253="",$D253="",$E253="",$F253="",$G253="",$H253=""),"",TRIM(IF($A253="","Customer/site label is missing. ","")&amp;IF($B253="","Monthly fee is missing. ",IF(NOT(ISNUMBER($B253)),"Monthly fee must be a number. ",IF($B253&lt;0,"Monthly fee can't be negative. ",IF(ROUND($B253,2)&lt;&gt;$B253,"Monthly fee: use up to 2 decimal places. ",IF($B253&gt;99999.99,"Monthly fee: use 99,999.99 or less. ","")))))&amp;IF($C253="","Visits per month is missing. ",IF(NOT(ISNUMBER($C253)),"Visits per month must be a number. ",IF($C253&lt;0,"Visits per month can't be negative. ",IF(ROUND($C253,3)&lt;&gt;$C253,"Visits per month: use up to 3 decimal places. ",IF($C253=0,"Visits per month must be more than 0. ",IF($C253&gt;31,"Visits per month: use 31 or less. ",""))))))&amp;IF($D253="","Service minutes per visit is missing. ",IF(NOT(ISNUMBER($D253)),"Service minutes per visit must be a number. ",IF($D253&lt;0,"Service minutes per visit can't be negative. ",IF(ROUND($D253,2)&lt;&gt;$D253,"Service minutes per visit: use up to 2 decimal places. ",IF($D253=0,"Service minutes per visit must be more than 0. ",IF($D253&gt;600,"Service minutes per visit: use 600 or less. ",""))))))&amp;IF($E253="","Drive minutes per visit is missing. ",IF(NOT(ISNUMBER($E253)),"Drive minutes per visit must be a number. ",IF($E253&lt;0,"Drive minutes per visit can't be negative. ",IF(ROUND($E253,2)&lt;&gt;$E253,"Drive minutes per visit: use up to 2 decimal places. ",IF($E253&gt;600,"Drive minutes per visit: use 600 or less. ","")))))&amp;IF($F253="","Drive miles per visit is missing. ",IF(NOT(ISNUMBER($F253)),"Drive miles per visit must be a number. ",IF($F253&lt;0,"Drive miles per visit can't be negative. ",IF(ROUND($F253,2)&lt;&gt;$F253,"Drive miles per visit: use up to 2 decimal places. ",IF($F253&gt;1000,"Drive miles per visit: use 1,000 or less. ","")))))&amp;IF($G253="","Chemicals per visit is missing. ",IF(NOT(ISNUMBER($G253)),"Chemicals per visit must be a number. ",IF($G253&lt;0,"Chemicals per visit can't be negative. ",IF(ROUND($G253,2)&lt;&gt;$G253,"Chemicals per visit: use up to 2 decimal places. ",IF($G253&gt;9999.99,"Chemicals per visit: use 9,999.99 or less. ","")))))&amp;IF($H253="","Other monthly costs is missing. ",IF(NOT(ISNUMBER($H253)),"Other monthly costs must be a number. ",IF($H253&lt;0,"Other monthly costs can't be negative. ",IF(ROUND($H253,2)&lt;&gt;$H253,"Other monthly costs: use up to 2 decimal places. ",IF($H253&gt;99999.99,"Other monthly costs: use 99,999.99 or less. ","")))))&amp;IF(SettingsOK,"","Settings incomplete.")))</f>
        <v/>
      </c>
      <c r="T253" s="23" t="str">
        <f aca="false">IF(AND($A253="",$B253="",$C253="",$D253="",$E253="",$F253="",$G253="",$H253=""),"",IF(Review!$B$5="Check inputs",IF($R253="Check inputs",ROW(),""),IF($R253="Check inputs",IF(Review!$B$5="All accounts",-2000000000000000+ROW(),""),IF(AND(Review!$B$5="Needs review",$R253="Meets your target"),"",IF($R253="No fee entered",-1000000000000000+ROW(),$N253/$B253+ROW()/1000000000)))))</f>
        <v/>
      </c>
    </row>
    <row r="254" customFormat="false" ht="15" hidden="false" customHeight="false" outlineLevel="0" collapsed="false">
      <c r="A254" s="14"/>
      <c r="B254" s="15"/>
      <c r="C254" s="16"/>
      <c r="D254" s="14"/>
      <c r="E254" s="14"/>
      <c r="F254" s="14"/>
      <c r="G254" s="15"/>
      <c r="H254" s="15"/>
      <c r="I254" s="17" t="str">
        <f aca="false">IF(OR(AND($A254="",$B254="",$C254="",$D254="",$E254="",$F254="",$G254="",$H254=""),NOT($S254="")),"",ROUND($C254*($D254+$E254)/60,4))</f>
        <v/>
      </c>
      <c r="J254" s="18" t="str">
        <f aca="false">IF(OR(AND($A254="",$B254="",$C254="",$D254="",$E254="",$F254="",$G254="",$H254=""),NOT($S254="")),"",ROUND(ROUND($C254*($D254+$E254)/60*$B$5,9),2))</f>
        <v/>
      </c>
      <c r="K254" s="18" t="str">
        <f aca="false">IF(OR(AND($A254="",$B254="",$C254="",$D254="",$E254="",$F254="",$G254="",$H254=""),NOT($S254="")),"",ROUND(ROUND($C254*$F254*$B$6,9),2))</f>
        <v/>
      </c>
      <c r="L254" s="18" t="str">
        <f aca="false">IF(OR(AND($A254="",$B254="",$C254="",$D254="",$E254="",$F254="",$G254="",$H254=""),NOT($S254="")),"",ROUND(ROUND($C254*$G254,9),2))</f>
        <v/>
      </c>
      <c r="M254" s="19" t="str">
        <f aca="false">IF(OR(AND($A254="",$B254="",$C254="",$D254="",$E254="",$F254="",$G254="",$H254=""),NOT($S254="")),"",ROUND($J254+$K254+$L254+$H254,2))</f>
        <v/>
      </c>
      <c r="N254" s="19" t="str">
        <f aca="false">IF(OR(AND($A254="",$B254="",$C254="",$D254="",$E254="",$F254="",$G254="",$H254=""),NOT($S254="")),"",ROUND($B254-$M254,2))</f>
        <v/>
      </c>
      <c r="O254" s="20" t="str">
        <f aca="false">IF(OR(AND($A254="",$B254="",$C254="",$D254="",$E254="",$F254="",$G254="",$H254=""),NOT($S254="")),"",IF($B254=0,"n/a",INT(ROUND($N254/$B254*10000,6))/10000))</f>
        <v/>
      </c>
      <c r="P254" s="18" t="str">
        <f aca="false">IF(OR(AND($A254="",$B254="",$C254="",$D254="",$E254="",$F254="",$G254="",$H254=""),NOT($S254="")),"",ROUNDUP(ROUND($M254*10000/(10000-TargetH),9),2))</f>
        <v/>
      </c>
      <c r="Q254" s="18" t="str">
        <f aca="false">IF(OR(AND($A254="",$B254="",$C254="",$D254="",$E254="",$F254="",$G254="",$H254=""),NOT($S254="")),"",MAX(0,ROUND($P254-$B254,2)))</f>
        <v/>
      </c>
      <c r="R254" s="21" t="str">
        <f aca="false">IF(AND($A254="",$B254="",$C254="",$D254="",$E254="",$F254="",$G254="",$H254=""),"",IF(NOT($S254=""),"Check inputs",IF($B254=0,"No fee entered",IF($N254&lt;0,"Losing money on entered costs",IF(ROUND($N254*100,0)*10000&lt;TargetH*ROUND($B254*100,0),"Below your target","Meets your target")))))</f>
        <v/>
      </c>
      <c r="S254" s="22" t="str">
        <f aca="false">IF(AND($A254="",$B254="",$C254="",$D254="",$E254="",$F254="",$G254="",$H254=""),"",TRIM(IF($A254="","Customer/site label is missing. ","")&amp;IF($B254="","Monthly fee is missing. ",IF(NOT(ISNUMBER($B254)),"Monthly fee must be a number. ",IF($B254&lt;0,"Monthly fee can't be negative. ",IF(ROUND($B254,2)&lt;&gt;$B254,"Monthly fee: use up to 2 decimal places. ",IF($B254&gt;99999.99,"Monthly fee: use 99,999.99 or less. ","")))))&amp;IF($C254="","Visits per month is missing. ",IF(NOT(ISNUMBER($C254)),"Visits per month must be a number. ",IF($C254&lt;0,"Visits per month can't be negative. ",IF(ROUND($C254,3)&lt;&gt;$C254,"Visits per month: use up to 3 decimal places. ",IF($C254=0,"Visits per month must be more than 0. ",IF($C254&gt;31,"Visits per month: use 31 or less. ",""))))))&amp;IF($D254="","Service minutes per visit is missing. ",IF(NOT(ISNUMBER($D254)),"Service minutes per visit must be a number. ",IF($D254&lt;0,"Service minutes per visit can't be negative. ",IF(ROUND($D254,2)&lt;&gt;$D254,"Service minutes per visit: use up to 2 decimal places. ",IF($D254=0,"Service minutes per visit must be more than 0. ",IF($D254&gt;600,"Service minutes per visit: use 600 or less. ",""))))))&amp;IF($E254="","Drive minutes per visit is missing. ",IF(NOT(ISNUMBER($E254)),"Drive minutes per visit must be a number. ",IF($E254&lt;0,"Drive minutes per visit can't be negative. ",IF(ROUND($E254,2)&lt;&gt;$E254,"Drive minutes per visit: use up to 2 decimal places. ",IF($E254&gt;600,"Drive minutes per visit: use 600 or less. ","")))))&amp;IF($F254="","Drive miles per visit is missing. ",IF(NOT(ISNUMBER($F254)),"Drive miles per visit must be a number. ",IF($F254&lt;0,"Drive miles per visit can't be negative. ",IF(ROUND($F254,2)&lt;&gt;$F254,"Drive miles per visit: use up to 2 decimal places. ",IF($F254&gt;1000,"Drive miles per visit: use 1,000 or less. ","")))))&amp;IF($G254="","Chemicals per visit is missing. ",IF(NOT(ISNUMBER($G254)),"Chemicals per visit must be a number. ",IF($G254&lt;0,"Chemicals per visit can't be negative. ",IF(ROUND($G254,2)&lt;&gt;$G254,"Chemicals per visit: use up to 2 decimal places. ",IF($G254&gt;9999.99,"Chemicals per visit: use 9,999.99 or less. ","")))))&amp;IF($H254="","Other monthly costs is missing. ",IF(NOT(ISNUMBER($H254)),"Other monthly costs must be a number. ",IF($H254&lt;0,"Other monthly costs can't be negative. ",IF(ROUND($H254,2)&lt;&gt;$H254,"Other monthly costs: use up to 2 decimal places. ",IF($H254&gt;99999.99,"Other monthly costs: use 99,999.99 or less. ","")))))&amp;IF(SettingsOK,"","Settings incomplete.")))</f>
        <v/>
      </c>
      <c r="T254" s="23" t="str">
        <f aca="false">IF(AND($A254="",$B254="",$C254="",$D254="",$E254="",$F254="",$G254="",$H254=""),"",IF(Review!$B$5="Check inputs",IF($R254="Check inputs",ROW(),""),IF($R254="Check inputs",IF(Review!$B$5="All accounts",-2000000000000000+ROW(),""),IF(AND(Review!$B$5="Needs review",$R254="Meets your target"),"",IF($R254="No fee entered",-1000000000000000+ROW(),$N254/$B254+ROW()/1000000000)))))</f>
        <v/>
      </c>
    </row>
    <row r="255" customFormat="false" ht="15" hidden="false" customHeight="false" outlineLevel="0" collapsed="false">
      <c r="A255" s="14"/>
      <c r="B255" s="15"/>
      <c r="C255" s="16"/>
      <c r="D255" s="14"/>
      <c r="E255" s="14"/>
      <c r="F255" s="14"/>
      <c r="G255" s="15"/>
      <c r="H255" s="15"/>
      <c r="I255" s="17" t="str">
        <f aca="false">IF(OR(AND($A255="",$B255="",$C255="",$D255="",$E255="",$F255="",$G255="",$H255=""),NOT($S255="")),"",ROUND($C255*($D255+$E255)/60,4))</f>
        <v/>
      </c>
      <c r="J255" s="18" t="str">
        <f aca="false">IF(OR(AND($A255="",$B255="",$C255="",$D255="",$E255="",$F255="",$G255="",$H255=""),NOT($S255="")),"",ROUND(ROUND($C255*($D255+$E255)/60*$B$5,9),2))</f>
        <v/>
      </c>
      <c r="K255" s="18" t="str">
        <f aca="false">IF(OR(AND($A255="",$B255="",$C255="",$D255="",$E255="",$F255="",$G255="",$H255=""),NOT($S255="")),"",ROUND(ROUND($C255*$F255*$B$6,9),2))</f>
        <v/>
      </c>
      <c r="L255" s="18" t="str">
        <f aca="false">IF(OR(AND($A255="",$B255="",$C255="",$D255="",$E255="",$F255="",$G255="",$H255=""),NOT($S255="")),"",ROUND(ROUND($C255*$G255,9),2))</f>
        <v/>
      </c>
      <c r="M255" s="19" t="str">
        <f aca="false">IF(OR(AND($A255="",$B255="",$C255="",$D255="",$E255="",$F255="",$G255="",$H255=""),NOT($S255="")),"",ROUND($J255+$K255+$L255+$H255,2))</f>
        <v/>
      </c>
      <c r="N255" s="19" t="str">
        <f aca="false">IF(OR(AND($A255="",$B255="",$C255="",$D255="",$E255="",$F255="",$G255="",$H255=""),NOT($S255="")),"",ROUND($B255-$M255,2))</f>
        <v/>
      </c>
      <c r="O255" s="20" t="str">
        <f aca="false">IF(OR(AND($A255="",$B255="",$C255="",$D255="",$E255="",$F255="",$G255="",$H255=""),NOT($S255="")),"",IF($B255=0,"n/a",INT(ROUND($N255/$B255*10000,6))/10000))</f>
        <v/>
      </c>
      <c r="P255" s="18" t="str">
        <f aca="false">IF(OR(AND($A255="",$B255="",$C255="",$D255="",$E255="",$F255="",$G255="",$H255=""),NOT($S255="")),"",ROUNDUP(ROUND($M255*10000/(10000-TargetH),9),2))</f>
        <v/>
      </c>
      <c r="Q255" s="18" t="str">
        <f aca="false">IF(OR(AND($A255="",$B255="",$C255="",$D255="",$E255="",$F255="",$G255="",$H255=""),NOT($S255="")),"",MAX(0,ROUND($P255-$B255,2)))</f>
        <v/>
      </c>
      <c r="R255" s="21" t="str">
        <f aca="false">IF(AND($A255="",$B255="",$C255="",$D255="",$E255="",$F255="",$G255="",$H255=""),"",IF(NOT($S255=""),"Check inputs",IF($B255=0,"No fee entered",IF($N255&lt;0,"Losing money on entered costs",IF(ROUND($N255*100,0)*10000&lt;TargetH*ROUND($B255*100,0),"Below your target","Meets your target")))))</f>
        <v/>
      </c>
      <c r="S255" s="22" t="str">
        <f aca="false">IF(AND($A255="",$B255="",$C255="",$D255="",$E255="",$F255="",$G255="",$H255=""),"",TRIM(IF($A255="","Customer/site label is missing. ","")&amp;IF($B255="","Monthly fee is missing. ",IF(NOT(ISNUMBER($B255)),"Monthly fee must be a number. ",IF($B255&lt;0,"Monthly fee can't be negative. ",IF(ROUND($B255,2)&lt;&gt;$B255,"Monthly fee: use up to 2 decimal places. ",IF($B255&gt;99999.99,"Monthly fee: use 99,999.99 or less. ","")))))&amp;IF($C255="","Visits per month is missing. ",IF(NOT(ISNUMBER($C255)),"Visits per month must be a number. ",IF($C255&lt;0,"Visits per month can't be negative. ",IF(ROUND($C255,3)&lt;&gt;$C255,"Visits per month: use up to 3 decimal places. ",IF($C255=0,"Visits per month must be more than 0. ",IF($C255&gt;31,"Visits per month: use 31 or less. ",""))))))&amp;IF($D255="","Service minutes per visit is missing. ",IF(NOT(ISNUMBER($D255)),"Service minutes per visit must be a number. ",IF($D255&lt;0,"Service minutes per visit can't be negative. ",IF(ROUND($D255,2)&lt;&gt;$D255,"Service minutes per visit: use up to 2 decimal places. ",IF($D255=0,"Service minutes per visit must be more than 0. ",IF($D255&gt;600,"Service minutes per visit: use 600 or less. ",""))))))&amp;IF($E255="","Drive minutes per visit is missing. ",IF(NOT(ISNUMBER($E255)),"Drive minutes per visit must be a number. ",IF($E255&lt;0,"Drive minutes per visit can't be negative. ",IF(ROUND($E255,2)&lt;&gt;$E255,"Drive minutes per visit: use up to 2 decimal places. ",IF($E255&gt;600,"Drive minutes per visit: use 600 or less. ","")))))&amp;IF($F255="","Drive miles per visit is missing. ",IF(NOT(ISNUMBER($F255)),"Drive miles per visit must be a number. ",IF($F255&lt;0,"Drive miles per visit can't be negative. ",IF(ROUND($F255,2)&lt;&gt;$F255,"Drive miles per visit: use up to 2 decimal places. ",IF($F255&gt;1000,"Drive miles per visit: use 1,000 or less. ","")))))&amp;IF($G255="","Chemicals per visit is missing. ",IF(NOT(ISNUMBER($G255)),"Chemicals per visit must be a number. ",IF($G255&lt;0,"Chemicals per visit can't be negative. ",IF(ROUND($G255,2)&lt;&gt;$G255,"Chemicals per visit: use up to 2 decimal places. ",IF($G255&gt;9999.99,"Chemicals per visit: use 9,999.99 or less. ","")))))&amp;IF($H255="","Other monthly costs is missing. ",IF(NOT(ISNUMBER($H255)),"Other monthly costs must be a number. ",IF($H255&lt;0,"Other monthly costs can't be negative. ",IF(ROUND($H255,2)&lt;&gt;$H255,"Other monthly costs: use up to 2 decimal places. ",IF($H255&gt;99999.99,"Other monthly costs: use 99,999.99 or less. ","")))))&amp;IF(SettingsOK,"","Settings incomplete.")))</f>
        <v/>
      </c>
      <c r="T255" s="23" t="str">
        <f aca="false">IF(AND($A255="",$B255="",$C255="",$D255="",$E255="",$F255="",$G255="",$H255=""),"",IF(Review!$B$5="Check inputs",IF($R255="Check inputs",ROW(),""),IF($R255="Check inputs",IF(Review!$B$5="All accounts",-2000000000000000+ROW(),""),IF(AND(Review!$B$5="Needs review",$R255="Meets your target"),"",IF($R255="No fee entered",-1000000000000000+ROW(),$N255/$B255+ROW()/1000000000)))))</f>
        <v/>
      </c>
    </row>
    <row r="256" customFormat="false" ht="15" hidden="false" customHeight="false" outlineLevel="0" collapsed="false">
      <c r="A256" s="14"/>
      <c r="B256" s="15"/>
      <c r="C256" s="16"/>
      <c r="D256" s="14"/>
      <c r="E256" s="14"/>
      <c r="F256" s="14"/>
      <c r="G256" s="15"/>
      <c r="H256" s="15"/>
      <c r="I256" s="17" t="str">
        <f aca="false">IF(OR(AND($A256="",$B256="",$C256="",$D256="",$E256="",$F256="",$G256="",$H256=""),NOT($S256="")),"",ROUND($C256*($D256+$E256)/60,4))</f>
        <v/>
      </c>
      <c r="J256" s="18" t="str">
        <f aca="false">IF(OR(AND($A256="",$B256="",$C256="",$D256="",$E256="",$F256="",$G256="",$H256=""),NOT($S256="")),"",ROUND(ROUND($C256*($D256+$E256)/60*$B$5,9),2))</f>
        <v/>
      </c>
      <c r="K256" s="18" t="str">
        <f aca="false">IF(OR(AND($A256="",$B256="",$C256="",$D256="",$E256="",$F256="",$G256="",$H256=""),NOT($S256="")),"",ROUND(ROUND($C256*$F256*$B$6,9),2))</f>
        <v/>
      </c>
      <c r="L256" s="18" t="str">
        <f aca="false">IF(OR(AND($A256="",$B256="",$C256="",$D256="",$E256="",$F256="",$G256="",$H256=""),NOT($S256="")),"",ROUND(ROUND($C256*$G256,9),2))</f>
        <v/>
      </c>
      <c r="M256" s="19" t="str">
        <f aca="false">IF(OR(AND($A256="",$B256="",$C256="",$D256="",$E256="",$F256="",$G256="",$H256=""),NOT($S256="")),"",ROUND($J256+$K256+$L256+$H256,2))</f>
        <v/>
      </c>
      <c r="N256" s="19" t="str">
        <f aca="false">IF(OR(AND($A256="",$B256="",$C256="",$D256="",$E256="",$F256="",$G256="",$H256=""),NOT($S256="")),"",ROUND($B256-$M256,2))</f>
        <v/>
      </c>
      <c r="O256" s="20" t="str">
        <f aca="false">IF(OR(AND($A256="",$B256="",$C256="",$D256="",$E256="",$F256="",$G256="",$H256=""),NOT($S256="")),"",IF($B256=0,"n/a",INT(ROUND($N256/$B256*10000,6))/10000))</f>
        <v/>
      </c>
      <c r="P256" s="18" t="str">
        <f aca="false">IF(OR(AND($A256="",$B256="",$C256="",$D256="",$E256="",$F256="",$G256="",$H256=""),NOT($S256="")),"",ROUNDUP(ROUND($M256*10000/(10000-TargetH),9),2))</f>
        <v/>
      </c>
      <c r="Q256" s="18" t="str">
        <f aca="false">IF(OR(AND($A256="",$B256="",$C256="",$D256="",$E256="",$F256="",$G256="",$H256=""),NOT($S256="")),"",MAX(0,ROUND($P256-$B256,2)))</f>
        <v/>
      </c>
      <c r="R256" s="21" t="str">
        <f aca="false">IF(AND($A256="",$B256="",$C256="",$D256="",$E256="",$F256="",$G256="",$H256=""),"",IF(NOT($S256=""),"Check inputs",IF($B256=0,"No fee entered",IF($N256&lt;0,"Losing money on entered costs",IF(ROUND($N256*100,0)*10000&lt;TargetH*ROUND($B256*100,0),"Below your target","Meets your target")))))</f>
        <v/>
      </c>
      <c r="S256" s="22" t="str">
        <f aca="false">IF(AND($A256="",$B256="",$C256="",$D256="",$E256="",$F256="",$G256="",$H256=""),"",TRIM(IF($A256="","Customer/site label is missing. ","")&amp;IF($B256="","Monthly fee is missing. ",IF(NOT(ISNUMBER($B256)),"Monthly fee must be a number. ",IF($B256&lt;0,"Monthly fee can't be negative. ",IF(ROUND($B256,2)&lt;&gt;$B256,"Monthly fee: use up to 2 decimal places. ",IF($B256&gt;99999.99,"Monthly fee: use 99,999.99 or less. ","")))))&amp;IF($C256="","Visits per month is missing. ",IF(NOT(ISNUMBER($C256)),"Visits per month must be a number. ",IF($C256&lt;0,"Visits per month can't be negative. ",IF(ROUND($C256,3)&lt;&gt;$C256,"Visits per month: use up to 3 decimal places. ",IF($C256=0,"Visits per month must be more than 0. ",IF($C256&gt;31,"Visits per month: use 31 or less. ",""))))))&amp;IF($D256="","Service minutes per visit is missing. ",IF(NOT(ISNUMBER($D256)),"Service minutes per visit must be a number. ",IF($D256&lt;0,"Service minutes per visit can't be negative. ",IF(ROUND($D256,2)&lt;&gt;$D256,"Service minutes per visit: use up to 2 decimal places. ",IF($D256=0,"Service minutes per visit must be more than 0. ",IF($D256&gt;600,"Service minutes per visit: use 600 or less. ",""))))))&amp;IF($E256="","Drive minutes per visit is missing. ",IF(NOT(ISNUMBER($E256)),"Drive minutes per visit must be a number. ",IF($E256&lt;0,"Drive minutes per visit can't be negative. ",IF(ROUND($E256,2)&lt;&gt;$E256,"Drive minutes per visit: use up to 2 decimal places. ",IF($E256&gt;600,"Drive minutes per visit: use 600 or less. ","")))))&amp;IF($F256="","Drive miles per visit is missing. ",IF(NOT(ISNUMBER($F256)),"Drive miles per visit must be a number. ",IF($F256&lt;0,"Drive miles per visit can't be negative. ",IF(ROUND($F256,2)&lt;&gt;$F256,"Drive miles per visit: use up to 2 decimal places. ",IF($F256&gt;1000,"Drive miles per visit: use 1,000 or less. ","")))))&amp;IF($G256="","Chemicals per visit is missing. ",IF(NOT(ISNUMBER($G256)),"Chemicals per visit must be a number. ",IF($G256&lt;0,"Chemicals per visit can't be negative. ",IF(ROUND($G256,2)&lt;&gt;$G256,"Chemicals per visit: use up to 2 decimal places. ",IF($G256&gt;9999.99,"Chemicals per visit: use 9,999.99 or less. ","")))))&amp;IF($H256="","Other monthly costs is missing. ",IF(NOT(ISNUMBER($H256)),"Other monthly costs must be a number. ",IF($H256&lt;0,"Other monthly costs can't be negative. ",IF(ROUND($H256,2)&lt;&gt;$H256,"Other monthly costs: use up to 2 decimal places. ",IF($H256&gt;99999.99,"Other monthly costs: use 99,999.99 or less. ","")))))&amp;IF(SettingsOK,"","Settings incomplete.")))</f>
        <v/>
      </c>
      <c r="T256" s="23" t="str">
        <f aca="false">IF(AND($A256="",$B256="",$C256="",$D256="",$E256="",$F256="",$G256="",$H256=""),"",IF(Review!$B$5="Check inputs",IF($R256="Check inputs",ROW(),""),IF($R256="Check inputs",IF(Review!$B$5="All accounts",-2000000000000000+ROW(),""),IF(AND(Review!$B$5="Needs review",$R256="Meets your target"),"",IF($R256="No fee entered",-1000000000000000+ROW(),$N256/$B256+ROW()/1000000000)))))</f>
        <v/>
      </c>
    </row>
    <row r="257" customFormat="false" ht="15" hidden="false" customHeight="false" outlineLevel="0" collapsed="false">
      <c r="A257" s="14"/>
      <c r="B257" s="15"/>
      <c r="C257" s="16"/>
      <c r="D257" s="14"/>
      <c r="E257" s="14"/>
      <c r="F257" s="14"/>
      <c r="G257" s="15"/>
      <c r="H257" s="15"/>
      <c r="I257" s="17" t="str">
        <f aca="false">IF(OR(AND($A257="",$B257="",$C257="",$D257="",$E257="",$F257="",$G257="",$H257=""),NOT($S257="")),"",ROUND($C257*($D257+$E257)/60,4))</f>
        <v/>
      </c>
      <c r="J257" s="18" t="str">
        <f aca="false">IF(OR(AND($A257="",$B257="",$C257="",$D257="",$E257="",$F257="",$G257="",$H257=""),NOT($S257="")),"",ROUND(ROUND($C257*($D257+$E257)/60*$B$5,9),2))</f>
        <v/>
      </c>
      <c r="K257" s="18" t="str">
        <f aca="false">IF(OR(AND($A257="",$B257="",$C257="",$D257="",$E257="",$F257="",$G257="",$H257=""),NOT($S257="")),"",ROUND(ROUND($C257*$F257*$B$6,9),2))</f>
        <v/>
      </c>
      <c r="L257" s="18" t="str">
        <f aca="false">IF(OR(AND($A257="",$B257="",$C257="",$D257="",$E257="",$F257="",$G257="",$H257=""),NOT($S257="")),"",ROUND(ROUND($C257*$G257,9),2))</f>
        <v/>
      </c>
      <c r="M257" s="19" t="str">
        <f aca="false">IF(OR(AND($A257="",$B257="",$C257="",$D257="",$E257="",$F257="",$G257="",$H257=""),NOT($S257="")),"",ROUND($J257+$K257+$L257+$H257,2))</f>
        <v/>
      </c>
      <c r="N257" s="19" t="str">
        <f aca="false">IF(OR(AND($A257="",$B257="",$C257="",$D257="",$E257="",$F257="",$G257="",$H257=""),NOT($S257="")),"",ROUND($B257-$M257,2))</f>
        <v/>
      </c>
      <c r="O257" s="20" t="str">
        <f aca="false">IF(OR(AND($A257="",$B257="",$C257="",$D257="",$E257="",$F257="",$G257="",$H257=""),NOT($S257="")),"",IF($B257=0,"n/a",INT(ROUND($N257/$B257*10000,6))/10000))</f>
        <v/>
      </c>
      <c r="P257" s="18" t="str">
        <f aca="false">IF(OR(AND($A257="",$B257="",$C257="",$D257="",$E257="",$F257="",$G257="",$H257=""),NOT($S257="")),"",ROUNDUP(ROUND($M257*10000/(10000-TargetH),9),2))</f>
        <v/>
      </c>
      <c r="Q257" s="18" t="str">
        <f aca="false">IF(OR(AND($A257="",$B257="",$C257="",$D257="",$E257="",$F257="",$G257="",$H257=""),NOT($S257="")),"",MAX(0,ROUND($P257-$B257,2)))</f>
        <v/>
      </c>
      <c r="R257" s="21" t="str">
        <f aca="false">IF(AND($A257="",$B257="",$C257="",$D257="",$E257="",$F257="",$G257="",$H257=""),"",IF(NOT($S257=""),"Check inputs",IF($B257=0,"No fee entered",IF($N257&lt;0,"Losing money on entered costs",IF(ROUND($N257*100,0)*10000&lt;TargetH*ROUND($B257*100,0),"Below your target","Meets your target")))))</f>
        <v/>
      </c>
      <c r="S257" s="22" t="str">
        <f aca="false">IF(AND($A257="",$B257="",$C257="",$D257="",$E257="",$F257="",$G257="",$H257=""),"",TRIM(IF($A257="","Customer/site label is missing. ","")&amp;IF($B257="","Monthly fee is missing. ",IF(NOT(ISNUMBER($B257)),"Monthly fee must be a number. ",IF($B257&lt;0,"Monthly fee can't be negative. ",IF(ROUND($B257,2)&lt;&gt;$B257,"Monthly fee: use up to 2 decimal places. ",IF($B257&gt;99999.99,"Monthly fee: use 99,999.99 or less. ","")))))&amp;IF($C257="","Visits per month is missing. ",IF(NOT(ISNUMBER($C257)),"Visits per month must be a number. ",IF($C257&lt;0,"Visits per month can't be negative. ",IF(ROUND($C257,3)&lt;&gt;$C257,"Visits per month: use up to 3 decimal places. ",IF($C257=0,"Visits per month must be more than 0. ",IF($C257&gt;31,"Visits per month: use 31 or less. ",""))))))&amp;IF($D257="","Service minutes per visit is missing. ",IF(NOT(ISNUMBER($D257)),"Service minutes per visit must be a number. ",IF($D257&lt;0,"Service minutes per visit can't be negative. ",IF(ROUND($D257,2)&lt;&gt;$D257,"Service minutes per visit: use up to 2 decimal places. ",IF($D257=0,"Service minutes per visit must be more than 0. ",IF($D257&gt;600,"Service minutes per visit: use 600 or less. ",""))))))&amp;IF($E257="","Drive minutes per visit is missing. ",IF(NOT(ISNUMBER($E257)),"Drive minutes per visit must be a number. ",IF($E257&lt;0,"Drive minutes per visit can't be negative. ",IF(ROUND($E257,2)&lt;&gt;$E257,"Drive minutes per visit: use up to 2 decimal places. ",IF($E257&gt;600,"Drive minutes per visit: use 600 or less. ","")))))&amp;IF($F257="","Drive miles per visit is missing. ",IF(NOT(ISNUMBER($F257)),"Drive miles per visit must be a number. ",IF($F257&lt;0,"Drive miles per visit can't be negative. ",IF(ROUND($F257,2)&lt;&gt;$F257,"Drive miles per visit: use up to 2 decimal places. ",IF($F257&gt;1000,"Drive miles per visit: use 1,000 or less. ","")))))&amp;IF($G257="","Chemicals per visit is missing. ",IF(NOT(ISNUMBER($G257)),"Chemicals per visit must be a number. ",IF($G257&lt;0,"Chemicals per visit can't be negative. ",IF(ROUND($G257,2)&lt;&gt;$G257,"Chemicals per visit: use up to 2 decimal places. ",IF($G257&gt;9999.99,"Chemicals per visit: use 9,999.99 or less. ","")))))&amp;IF($H257="","Other monthly costs is missing. ",IF(NOT(ISNUMBER($H257)),"Other monthly costs must be a number. ",IF($H257&lt;0,"Other monthly costs can't be negative. ",IF(ROUND($H257,2)&lt;&gt;$H257,"Other monthly costs: use up to 2 decimal places. ",IF($H257&gt;99999.99,"Other monthly costs: use 99,999.99 or less. ","")))))&amp;IF(SettingsOK,"","Settings incomplete.")))</f>
        <v/>
      </c>
      <c r="T257" s="23" t="str">
        <f aca="false">IF(AND($A257="",$B257="",$C257="",$D257="",$E257="",$F257="",$G257="",$H257=""),"",IF(Review!$B$5="Check inputs",IF($R257="Check inputs",ROW(),""),IF($R257="Check inputs",IF(Review!$B$5="All accounts",-2000000000000000+ROW(),""),IF(AND(Review!$B$5="Needs review",$R257="Meets your target"),"",IF($R257="No fee entered",-1000000000000000+ROW(),$N257/$B257+ROW()/1000000000)))))</f>
        <v/>
      </c>
    </row>
    <row r="258" customFormat="false" ht="15" hidden="false" customHeight="false" outlineLevel="0" collapsed="false">
      <c r="A258" s="14"/>
      <c r="B258" s="15"/>
      <c r="C258" s="16"/>
      <c r="D258" s="14"/>
      <c r="E258" s="14"/>
      <c r="F258" s="14"/>
      <c r="G258" s="15"/>
      <c r="H258" s="15"/>
      <c r="I258" s="17" t="str">
        <f aca="false">IF(OR(AND($A258="",$B258="",$C258="",$D258="",$E258="",$F258="",$G258="",$H258=""),NOT($S258="")),"",ROUND($C258*($D258+$E258)/60,4))</f>
        <v/>
      </c>
      <c r="J258" s="18" t="str">
        <f aca="false">IF(OR(AND($A258="",$B258="",$C258="",$D258="",$E258="",$F258="",$G258="",$H258=""),NOT($S258="")),"",ROUND(ROUND($C258*($D258+$E258)/60*$B$5,9),2))</f>
        <v/>
      </c>
      <c r="K258" s="18" t="str">
        <f aca="false">IF(OR(AND($A258="",$B258="",$C258="",$D258="",$E258="",$F258="",$G258="",$H258=""),NOT($S258="")),"",ROUND(ROUND($C258*$F258*$B$6,9),2))</f>
        <v/>
      </c>
      <c r="L258" s="18" t="str">
        <f aca="false">IF(OR(AND($A258="",$B258="",$C258="",$D258="",$E258="",$F258="",$G258="",$H258=""),NOT($S258="")),"",ROUND(ROUND($C258*$G258,9),2))</f>
        <v/>
      </c>
      <c r="M258" s="19" t="str">
        <f aca="false">IF(OR(AND($A258="",$B258="",$C258="",$D258="",$E258="",$F258="",$G258="",$H258=""),NOT($S258="")),"",ROUND($J258+$K258+$L258+$H258,2))</f>
        <v/>
      </c>
      <c r="N258" s="19" t="str">
        <f aca="false">IF(OR(AND($A258="",$B258="",$C258="",$D258="",$E258="",$F258="",$G258="",$H258=""),NOT($S258="")),"",ROUND($B258-$M258,2))</f>
        <v/>
      </c>
      <c r="O258" s="20" t="str">
        <f aca="false">IF(OR(AND($A258="",$B258="",$C258="",$D258="",$E258="",$F258="",$G258="",$H258=""),NOT($S258="")),"",IF($B258=0,"n/a",INT(ROUND($N258/$B258*10000,6))/10000))</f>
        <v/>
      </c>
      <c r="P258" s="18" t="str">
        <f aca="false">IF(OR(AND($A258="",$B258="",$C258="",$D258="",$E258="",$F258="",$G258="",$H258=""),NOT($S258="")),"",ROUNDUP(ROUND($M258*10000/(10000-TargetH),9),2))</f>
        <v/>
      </c>
      <c r="Q258" s="18" t="str">
        <f aca="false">IF(OR(AND($A258="",$B258="",$C258="",$D258="",$E258="",$F258="",$G258="",$H258=""),NOT($S258="")),"",MAX(0,ROUND($P258-$B258,2)))</f>
        <v/>
      </c>
      <c r="R258" s="21" t="str">
        <f aca="false">IF(AND($A258="",$B258="",$C258="",$D258="",$E258="",$F258="",$G258="",$H258=""),"",IF(NOT($S258=""),"Check inputs",IF($B258=0,"No fee entered",IF($N258&lt;0,"Losing money on entered costs",IF(ROUND($N258*100,0)*10000&lt;TargetH*ROUND($B258*100,0),"Below your target","Meets your target")))))</f>
        <v/>
      </c>
      <c r="S258" s="22" t="str">
        <f aca="false">IF(AND($A258="",$B258="",$C258="",$D258="",$E258="",$F258="",$G258="",$H258=""),"",TRIM(IF($A258="","Customer/site label is missing. ","")&amp;IF($B258="","Monthly fee is missing. ",IF(NOT(ISNUMBER($B258)),"Monthly fee must be a number. ",IF($B258&lt;0,"Monthly fee can't be negative. ",IF(ROUND($B258,2)&lt;&gt;$B258,"Monthly fee: use up to 2 decimal places. ",IF($B258&gt;99999.99,"Monthly fee: use 99,999.99 or less. ","")))))&amp;IF($C258="","Visits per month is missing. ",IF(NOT(ISNUMBER($C258)),"Visits per month must be a number. ",IF($C258&lt;0,"Visits per month can't be negative. ",IF(ROUND($C258,3)&lt;&gt;$C258,"Visits per month: use up to 3 decimal places. ",IF($C258=0,"Visits per month must be more than 0. ",IF($C258&gt;31,"Visits per month: use 31 or less. ",""))))))&amp;IF($D258="","Service minutes per visit is missing. ",IF(NOT(ISNUMBER($D258)),"Service minutes per visit must be a number. ",IF($D258&lt;0,"Service minutes per visit can't be negative. ",IF(ROUND($D258,2)&lt;&gt;$D258,"Service minutes per visit: use up to 2 decimal places. ",IF($D258=0,"Service minutes per visit must be more than 0. ",IF($D258&gt;600,"Service minutes per visit: use 600 or less. ",""))))))&amp;IF($E258="","Drive minutes per visit is missing. ",IF(NOT(ISNUMBER($E258)),"Drive minutes per visit must be a number. ",IF($E258&lt;0,"Drive minutes per visit can't be negative. ",IF(ROUND($E258,2)&lt;&gt;$E258,"Drive minutes per visit: use up to 2 decimal places. ",IF($E258&gt;600,"Drive minutes per visit: use 600 or less. ","")))))&amp;IF($F258="","Drive miles per visit is missing. ",IF(NOT(ISNUMBER($F258)),"Drive miles per visit must be a number. ",IF($F258&lt;0,"Drive miles per visit can't be negative. ",IF(ROUND($F258,2)&lt;&gt;$F258,"Drive miles per visit: use up to 2 decimal places. ",IF($F258&gt;1000,"Drive miles per visit: use 1,000 or less. ","")))))&amp;IF($G258="","Chemicals per visit is missing. ",IF(NOT(ISNUMBER($G258)),"Chemicals per visit must be a number. ",IF($G258&lt;0,"Chemicals per visit can't be negative. ",IF(ROUND($G258,2)&lt;&gt;$G258,"Chemicals per visit: use up to 2 decimal places. ",IF($G258&gt;9999.99,"Chemicals per visit: use 9,999.99 or less. ","")))))&amp;IF($H258="","Other monthly costs is missing. ",IF(NOT(ISNUMBER($H258)),"Other monthly costs must be a number. ",IF($H258&lt;0,"Other monthly costs can't be negative. ",IF(ROUND($H258,2)&lt;&gt;$H258,"Other monthly costs: use up to 2 decimal places. ",IF($H258&gt;99999.99,"Other monthly costs: use 99,999.99 or less. ","")))))&amp;IF(SettingsOK,"","Settings incomplete.")))</f>
        <v/>
      </c>
      <c r="T258" s="23" t="str">
        <f aca="false">IF(AND($A258="",$B258="",$C258="",$D258="",$E258="",$F258="",$G258="",$H258=""),"",IF(Review!$B$5="Check inputs",IF($R258="Check inputs",ROW(),""),IF($R258="Check inputs",IF(Review!$B$5="All accounts",-2000000000000000+ROW(),""),IF(AND(Review!$B$5="Needs review",$R258="Meets your target"),"",IF($R258="No fee entered",-1000000000000000+ROW(),$N258/$B258+ROW()/1000000000)))))</f>
        <v/>
      </c>
    </row>
    <row r="259" customFormat="false" ht="15" hidden="false" customHeight="false" outlineLevel="0" collapsed="false">
      <c r="A259" s="14"/>
      <c r="B259" s="15"/>
      <c r="C259" s="16"/>
      <c r="D259" s="14"/>
      <c r="E259" s="14"/>
      <c r="F259" s="14"/>
      <c r="G259" s="15"/>
      <c r="H259" s="15"/>
      <c r="I259" s="17" t="str">
        <f aca="false">IF(OR(AND($A259="",$B259="",$C259="",$D259="",$E259="",$F259="",$G259="",$H259=""),NOT($S259="")),"",ROUND($C259*($D259+$E259)/60,4))</f>
        <v/>
      </c>
      <c r="J259" s="18" t="str">
        <f aca="false">IF(OR(AND($A259="",$B259="",$C259="",$D259="",$E259="",$F259="",$G259="",$H259=""),NOT($S259="")),"",ROUND(ROUND($C259*($D259+$E259)/60*$B$5,9),2))</f>
        <v/>
      </c>
      <c r="K259" s="18" t="str">
        <f aca="false">IF(OR(AND($A259="",$B259="",$C259="",$D259="",$E259="",$F259="",$G259="",$H259=""),NOT($S259="")),"",ROUND(ROUND($C259*$F259*$B$6,9),2))</f>
        <v/>
      </c>
      <c r="L259" s="18" t="str">
        <f aca="false">IF(OR(AND($A259="",$B259="",$C259="",$D259="",$E259="",$F259="",$G259="",$H259=""),NOT($S259="")),"",ROUND(ROUND($C259*$G259,9),2))</f>
        <v/>
      </c>
      <c r="M259" s="19" t="str">
        <f aca="false">IF(OR(AND($A259="",$B259="",$C259="",$D259="",$E259="",$F259="",$G259="",$H259=""),NOT($S259="")),"",ROUND($J259+$K259+$L259+$H259,2))</f>
        <v/>
      </c>
      <c r="N259" s="19" t="str">
        <f aca="false">IF(OR(AND($A259="",$B259="",$C259="",$D259="",$E259="",$F259="",$G259="",$H259=""),NOT($S259="")),"",ROUND($B259-$M259,2))</f>
        <v/>
      </c>
      <c r="O259" s="20" t="str">
        <f aca="false">IF(OR(AND($A259="",$B259="",$C259="",$D259="",$E259="",$F259="",$G259="",$H259=""),NOT($S259="")),"",IF($B259=0,"n/a",INT(ROUND($N259/$B259*10000,6))/10000))</f>
        <v/>
      </c>
      <c r="P259" s="18" t="str">
        <f aca="false">IF(OR(AND($A259="",$B259="",$C259="",$D259="",$E259="",$F259="",$G259="",$H259=""),NOT($S259="")),"",ROUNDUP(ROUND($M259*10000/(10000-TargetH),9),2))</f>
        <v/>
      </c>
      <c r="Q259" s="18" t="str">
        <f aca="false">IF(OR(AND($A259="",$B259="",$C259="",$D259="",$E259="",$F259="",$G259="",$H259=""),NOT($S259="")),"",MAX(0,ROUND($P259-$B259,2)))</f>
        <v/>
      </c>
      <c r="R259" s="21" t="str">
        <f aca="false">IF(AND($A259="",$B259="",$C259="",$D259="",$E259="",$F259="",$G259="",$H259=""),"",IF(NOT($S259=""),"Check inputs",IF($B259=0,"No fee entered",IF($N259&lt;0,"Losing money on entered costs",IF(ROUND($N259*100,0)*10000&lt;TargetH*ROUND($B259*100,0),"Below your target","Meets your target")))))</f>
        <v/>
      </c>
      <c r="S259" s="22" t="str">
        <f aca="false">IF(AND($A259="",$B259="",$C259="",$D259="",$E259="",$F259="",$G259="",$H259=""),"",TRIM(IF($A259="","Customer/site label is missing. ","")&amp;IF($B259="","Monthly fee is missing. ",IF(NOT(ISNUMBER($B259)),"Monthly fee must be a number. ",IF($B259&lt;0,"Monthly fee can't be negative. ",IF(ROUND($B259,2)&lt;&gt;$B259,"Monthly fee: use up to 2 decimal places. ",IF($B259&gt;99999.99,"Monthly fee: use 99,999.99 or less. ","")))))&amp;IF($C259="","Visits per month is missing. ",IF(NOT(ISNUMBER($C259)),"Visits per month must be a number. ",IF($C259&lt;0,"Visits per month can't be negative. ",IF(ROUND($C259,3)&lt;&gt;$C259,"Visits per month: use up to 3 decimal places. ",IF($C259=0,"Visits per month must be more than 0. ",IF($C259&gt;31,"Visits per month: use 31 or less. ",""))))))&amp;IF($D259="","Service minutes per visit is missing. ",IF(NOT(ISNUMBER($D259)),"Service minutes per visit must be a number. ",IF($D259&lt;0,"Service minutes per visit can't be negative. ",IF(ROUND($D259,2)&lt;&gt;$D259,"Service minutes per visit: use up to 2 decimal places. ",IF($D259=0,"Service minutes per visit must be more than 0. ",IF($D259&gt;600,"Service minutes per visit: use 600 or less. ",""))))))&amp;IF($E259="","Drive minutes per visit is missing. ",IF(NOT(ISNUMBER($E259)),"Drive minutes per visit must be a number. ",IF($E259&lt;0,"Drive minutes per visit can't be negative. ",IF(ROUND($E259,2)&lt;&gt;$E259,"Drive minutes per visit: use up to 2 decimal places. ",IF($E259&gt;600,"Drive minutes per visit: use 600 or less. ","")))))&amp;IF($F259="","Drive miles per visit is missing. ",IF(NOT(ISNUMBER($F259)),"Drive miles per visit must be a number. ",IF($F259&lt;0,"Drive miles per visit can't be negative. ",IF(ROUND($F259,2)&lt;&gt;$F259,"Drive miles per visit: use up to 2 decimal places. ",IF($F259&gt;1000,"Drive miles per visit: use 1,000 or less. ","")))))&amp;IF($G259="","Chemicals per visit is missing. ",IF(NOT(ISNUMBER($G259)),"Chemicals per visit must be a number. ",IF($G259&lt;0,"Chemicals per visit can't be negative. ",IF(ROUND($G259,2)&lt;&gt;$G259,"Chemicals per visit: use up to 2 decimal places. ",IF($G259&gt;9999.99,"Chemicals per visit: use 9,999.99 or less. ","")))))&amp;IF($H259="","Other monthly costs is missing. ",IF(NOT(ISNUMBER($H259)),"Other monthly costs must be a number. ",IF($H259&lt;0,"Other monthly costs can't be negative. ",IF(ROUND($H259,2)&lt;&gt;$H259,"Other monthly costs: use up to 2 decimal places. ",IF($H259&gt;99999.99,"Other monthly costs: use 99,999.99 or less. ","")))))&amp;IF(SettingsOK,"","Settings incomplete.")))</f>
        <v/>
      </c>
      <c r="T259" s="23" t="str">
        <f aca="false">IF(AND($A259="",$B259="",$C259="",$D259="",$E259="",$F259="",$G259="",$H259=""),"",IF(Review!$B$5="Check inputs",IF($R259="Check inputs",ROW(),""),IF($R259="Check inputs",IF(Review!$B$5="All accounts",-2000000000000000+ROW(),""),IF(AND(Review!$B$5="Needs review",$R259="Meets your target"),"",IF($R259="No fee entered",-1000000000000000+ROW(),$N259/$B259+ROW()/1000000000)))))</f>
        <v/>
      </c>
    </row>
    <row r="260" customFormat="false" ht="15" hidden="false" customHeight="false" outlineLevel="0" collapsed="false">
      <c r="A260" s="14"/>
      <c r="B260" s="15"/>
      <c r="C260" s="16"/>
      <c r="D260" s="14"/>
      <c r="E260" s="14"/>
      <c r="F260" s="14"/>
      <c r="G260" s="15"/>
      <c r="H260" s="15"/>
      <c r="I260" s="17" t="str">
        <f aca="false">IF(OR(AND($A260="",$B260="",$C260="",$D260="",$E260="",$F260="",$G260="",$H260=""),NOT($S260="")),"",ROUND($C260*($D260+$E260)/60,4))</f>
        <v/>
      </c>
      <c r="J260" s="18" t="str">
        <f aca="false">IF(OR(AND($A260="",$B260="",$C260="",$D260="",$E260="",$F260="",$G260="",$H260=""),NOT($S260="")),"",ROUND(ROUND($C260*($D260+$E260)/60*$B$5,9),2))</f>
        <v/>
      </c>
      <c r="K260" s="18" t="str">
        <f aca="false">IF(OR(AND($A260="",$B260="",$C260="",$D260="",$E260="",$F260="",$G260="",$H260=""),NOT($S260="")),"",ROUND(ROUND($C260*$F260*$B$6,9),2))</f>
        <v/>
      </c>
      <c r="L260" s="18" t="str">
        <f aca="false">IF(OR(AND($A260="",$B260="",$C260="",$D260="",$E260="",$F260="",$G260="",$H260=""),NOT($S260="")),"",ROUND(ROUND($C260*$G260,9),2))</f>
        <v/>
      </c>
      <c r="M260" s="19" t="str">
        <f aca="false">IF(OR(AND($A260="",$B260="",$C260="",$D260="",$E260="",$F260="",$G260="",$H260=""),NOT($S260="")),"",ROUND($J260+$K260+$L260+$H260,2))</f>
        <v/>
      </c>
      <c r="N260" s="19" t="str">
        <f aca="false">IF(OR(AND($A260="",$B260="",$C260="",$D260="",$E260="",$F260="",$G260="",$H260=""),NOT($S260="")),"",ROUND($B260-$M260,2))</f>
        <v/>
      </c>
      <c r="O260" s="20" t="str">
        <f aca="false">IF(OR(AND($A260="",$B260="",$C260="",$D260="",$E260="",$F260="",$G260="",$H260=""),NOT($S260="")),"",IF($B260=0,"n/a",INT(ROUND($N260/$B260*10000,6))/10000))</f>
        <v/>
      </c>
      <c r="P260" s="18" t="str">
        <f aca="false">IF(OR(AND($A260="",$B260="",$C260="",$D260="",$E260="",$F260="",$G260="",$H260=""),NOT($S260="")),"",ROUNDUP(ROUND($M260*10000/(10000-TargetH),9),2))</f>
        <v/>
      </c>
      <c r="Q260" s="18" t="str">
        <f aca="false">IF(OR(AND($A260="",$B260="",$C260="",$D260="",$E260="",$F260="",$G260="",$H260=""),NOT($S260="")),"",MAX(0,ROUND($P260-$B260,2)))</f>
        <v/>
      </c>
      <c r="R260" s="21" t="str">
        <f aca="false">IF(AND($A260="",$B260="",$C260="",$D260="",$E260="",$F260="",$G260="",$H260=""),"",IF(NOT($S260=""),"Check inputs",IF($B260=0,"No fee entered",IF($N260&lt;0,"Losing money on entered costs",IF(ROUND($N260*100,0)*10000&lt;TargetH*ROUND($B260*100,0),"Below your target","Meets your target")))))</f>
        <v/>
      </c>
      <c r="S260" s="22" t="str">
        <f aca="false">IF(AND($A260="",$B260="",$C260="",$D260="",$E260="",$F260="",$G260="",$H260=""),"",TRIM(IF($A260="","Customer/site label is missing. ","")&amp;IF($B260="","Monthly fee is missing. ",IF(NOT(ISNUMBER($B260)),"Monthly fee must be a number. ",IF($B260&lt;0,"Monthly fee can't be negative. ",IF(ROUND($B260,2)&lt;&gt;$B260,"Monthly fee: use up to 2 decimal places. ",IF($B260&gt;99999.99,"Monthly fee: use 99,999.99 or less. ","")))))&amp;IF($C260="","Visits per month is missing. ",IF(NOT(ISNUMBER($C260)),"Visits per month must be a number. ",IF($C260&lt;0,"Visits per month can't be negative. ",IF(ROUND($C260,3)&lt;&gt;$C260,"Visits per month: use up to 3 decimal places. ",IF($C260=0,"Visits per month must be more than 0. ",IF($C260&gt;31,"Visits per month: use 31 or less. ",""))))))&amp;IF($D260="","Service minutes per visit is missing. ",IF(NOT(ISNUMBER($D260)),"Service minutes per visit must be a number. ",IF($D260&lt;0,"Service minutes per visit can't be negative. ",IF(ROUND($D260,2)&lt;&gt;$D260,"Service minutes per visit: use up to 2 decimal places. ",IF($D260=0,"Service minutes per visit must be more than 0. ",IF($D260&gt;600,"Service minutes per visit: use 600 or less. ",""))))))&amp;IF($E260="","Drive minutes per visit is missing. ",IF(NOT(ISNUMBER($E260)),"Drive minutes per visit must be a number. ",IF($E260&lt;0,"Drive minutes per visit can't be negative. ",IF(ROUND($E260,2)&lt;&gt;$E260,"Drive minutes per visit: use up to 2 decimal places. ",IF($E260&gt;600,"Drive minutes per visit: use 600 or less. ","")))))&amp;IF($F260="","Drive miles per visit is missing. ",IF(NOT(ISNUMBER($F260)),"Drive miles per visit must be a number. ",IF($F260&lt;0,"Drive miles per visit can't be negative. ",IF(ROUND($F260,2)&lt;&gt;$F260,"Drive miles per visit: use up to 2 decimal places. ",IF($F260&gt;1000,"Drive miles per visit: use 1,000 or less. ","")))))&amp;IF($G260="","Chemicals per visit is missing. ",IF(NOT(ISNUMBER($G260)),"Chemicals per visit must be a number. ",IF($G260&lt;0,"Chemicals per visit can't be negative. ",IF(ROUND($G260,2)&lt;&gt;$G260,"Chemicals per visit: use up to 2 decimal places. ",IF($G260&gt;9999.99,"Chemicals per visit: use 9,999.99 or less. ","")))))&amp;IF($H260="","Other monthly costs is missing. ",IF(NOT(ISNUMBER($H260)),"Other monthly costs must be a number. ",IF($H260&lt;0,"Other monthly costs can't be negative. ",IF(ROUND($H260,2)&lt;&gt;$H260,"Other monthly costs: use up to 2 decimal places. ",IF($H260&gt;99999.99,"Other monthly costs: use 99,999.99 or less. ","")))))&amp;IF(SettingsOK,"","Settings incomplete.")))</f>
        <v/>
      </c>
      <c r="T260" s="23" t="str">
        <f aca="false">IF(AND($A260="",$B260="",$C260="",$D260="",$E260="",$F260="",$G260="",$H260=""),"",IF(Review!$B$5="Check inputs",IF($R260="Check inputs",ROW(),""),IF($R260="Check inputs",IF(Review!$B$5="All accounts",-2000000000000000+ROW(),""),IF(AND(Review!$B$5="Needs review",$R260="Meets your target"),"",IF($R260="No fee entered",-1000000000000000+ROW(),$N260/$B260+ROW()/1000000000)))))</f>
        <v/>
      </c>
    </row>
    <row r="261" customFormat="false" ht="15" hidden="false" customHeight="false" outlineLevel="0" collapsed="false">
      <c r="A261" s="14"/>
      <c r="B261" s="15"/>
      <c r="C261" s="16"/>
      <c r="D261" s="14"/>
      <c r="E261" s="14"/>
      <c r="F261" s="14"/>
      <c r="G261" s="15"/>
      <c r="H261" s="15"/>
      <c r="I261" s="17" t="str">
        <f aca="false">IF(OR(AND($A261="",$B261="",$C261="",$D261="",$E261="",$F261="",$G261="",$H261=""),NOT($S261="")),"",ROUND($C261*($D261+$E261)/60,4))</f>
        <v/>
      </c>
      <c r="J261" s="18" t="str">
        <f aca="false">IF(OR(AND($A261="",$B261="",$C261="",$D261="",$E261="",$F261="",$G261="",$H261=""),NOT($S261="")),"",ROUND(ROUND($C261*($D261+$E261)/60*$B$5,9),2))</f>
        <v/>
      </c>
      <c r="K261" s="18" t="str">
        <f aca="false">IF(OR(AND($A261="",$B261="",$C261="",$D261="",$E261="",$F261="",$G261="",$H261=""),NOT($S261="")),"",ROUND(ROUND($C261*$F261*$B$6,9),2))</f>
        <v/>
      </c>
      <c r="L261" s="18" t="str">
        <f aca="false">IF(OR(AND($A261="",$B261="",$C261="",$D261="",$E261="",$F261="",$G261="",$H261=""),NOT($S261="")),"",ROUND(ROUND($C261*$G261,9),2))</f>
        <v/>
      </c>
      <c r="M261" s="19" t="str">
        <f aca="false">IF(OR(AND($A261="",$B261="",$C261="",$D261="",$E261="",$F261="",$G261="",$H261=""),NOT($S261="")),"",ROUND($J261+$K261+$L261+$H261,2))</f>
        <v/>
      </c>
      <c r="N261" s="19" t="str">
        <f aca="false">IF(OR(AND($A261="",$B261="",$C261="",$D261="",$E261="",$F261="",$G261="",$H261=""),NOT($S261="")),"",ROUND($B261-$M261,2))</f>
        <v/>
      </c>
      <c r="O261" s="20" t="str">
        <f aca="false">IF(OR(AND($A261="",$B261="",$C261="",$D261="",$E261="",$F261="",$G261="",$H261=""),NOT($S261="")),"",IF($B261=0,"n/a",INT(ROUND($N261/$B261*10000,6))/10000))</f>
        <v/>
      </c>
      <c r="P261" s="18" t="str">
        <f aca="false">IF(OR(AND($A261="",$B261="",$C261="",$D261="",$E261="",$F261="",$G261="",$H261=""),NOT($S261="")),"",ROUNDUP(ROUND($M261*10000/(10000-TargetH),9),2))</f>
        <v/>
      </c>
      <c r="Q261" s="18" t="str">
        <f aca="false">IF(OR(AND($A261="",$B261="",$C261="",$D261="",$E261="",$F261="",$G261="",$H261=""),NOT($S261="")),"",MAX(0,ROUND($P261-$B261,2)))</f>
        <v/>
      </c>
      <c r="R261" s="21" t="str">
        <f aca="false">IF(AND($A261="",$B261="",$C261="",$D261="",$E261="",$F261="",$G261="",$H261=""),"",IF(NOT($S261=""),"Check inputs",IF($B261=0,"No fee entered",IF($N261&lt;0,"Losing money on entered costs",IF(ROUND($N261*100,0)*10000&lt;TargetH*ROUND($B261*100,0),"Below your target","Meets your target")))))</f>
        <v/>
      </c>
      <c r="S261" s="22" t="str">
        <f aca="false">IF(AND($A261="",$B261="",$C261="",$D261="",$E261="",$F261="",$G261="",$H261=""),"",TRIM(IF($A261="","Customer/site label is missing. ","")&amp;IF($B261="","Monthly fee is missing. ",IF(NOT(ISNUMBER($B261)),"Monthly fee must be a number. ",IF($B261&lt;0,"Monthly fee can't be negative. ",IF(ROUND($B261,2)&lt;&gt;$B261,"Monthly fee: use up to 2 decimal places. ",IF($B261&gt;99999.99,"Monthly fee: use 99,999.99 or less. ","")))))&amp;IF($C261="","Visits per month is missing. ",IF(NOT(ISNUMBER($C261)),"Visits per month must be a number. ",IF($C261&lt;0,"Visits per month can't be negative. ",IF(ROUND($C261,3)&lt;&gt;$C261,"Visits per month: use up to 3 decimal places. ",IF($C261=0,"Visits per month must be more than 0. ",IF($C261&gt;31,"Visits per month: use 31 or less. ",""))))))&amp;IF($D261="","Service minutes per visit is missing. ",IF(NOT(ISNUMBER($D261)),"Service minutes per visit must be a number. ",IF($D261&lt;0,"Service minutes per visit can't be negative. ",IF(ROUND($D261,2)&lt;&gt;$D261,"Service minutes per visit: use up to 2 decimal places. ",IF($D261=0,"Service minutes per visit must be more than 0. ",IF($D261&gt;600,"Service minutes per visit: use 600 or less. ",""))))))&amp;IF($E261="","Drive minutes per visit is missing. ",IF(NOT(ISNUMBER($E261)),"Drive minutes per visit must be a number. ",IF($E261&lt;0,"Drive minutes per visit can't be negative. ",IF(ROUND($E261,2)&lt;&gt;$E261,"Drive minutes per visit: use up to 2 decimal places. ",IF($E261&gt;600,"Drive minutes per visit: use 600 or less. ","")))))&amp;IF($F261="","Drive miles per visit is missing. ",IF(NOT(ISNUMBER($F261)),"Drive miles per visit must be a number. ",IF($F261&lt;0,"Drive miles per visit can't be negative. ",IF(ROUND($F261,2)&lt;&gt;$F261,"Drive miles per visit: use up to 2 decimal places. ",IF($F261&gt;1000,"Drive miles per visit: use 1,000 or less. ","")))))&amp;IF($G261="","Chemicals per visit is missing. ",IF(NOT(ISNUMBER($G261)),"Chemicals per visit must be a number. ",IF($G261&lt;0,"Chemicals per visit can't be negative. ",IF(ROUND($G261,2)&lt;&gt;$G261,"Chemicals per visit: use up to 2 decimal places. ",IF($G261&gt;9999.99,"Chemicals per visit: use 9,999.99 or less. ","")))))&amp;IF($H261="","Other monthly costs is missing. ",IF(NOT(ISNUMBER($H261)),"Other monthly costs must be a number. ",IF($H261&lt;0,"Other monthly costs can't be negative. ",IF(ROUND($H261,2)&lt;&gt;$H261,"Other monthly costs: use up to 2 decimal places. ",IF($H261&gt;99999.99,"Other monthly costs: use 99,999.99 or less. ","")))))&amp;IF(SettingsOK,"","Settings incomplete.")))</f>
        <v/>
      </c>
      <c r="T261" s="23" t="str">
        <f aca="false">IF(AND($A261="",$B261="",$C261="",$D261="",$E261="",$F261="",$G261="",$H261=""),"",IF(Review!$B$5="Check inputs",IF($R261="Check inputs",ROW(),""),IF($R261="Check inputs",IF(Review!$B$5="All accounts",-2000000000000000+ROW(),""),IF(AND(Review!$B$5="Needs review",$R261="Meets your target"),"",IF($R261="No fee entered",-1000000000000000+ROW(),$N261/$B261+ROW()/1000000000)))))</f>
        <v/>
      </c>
    </row>
    <row r="262" customFormat="false" ht="15" hidden="false" customHeight="false" outlineLevel="0" collapsed="false">
      <c r="A262" s="14"/>
      <c r="B262" s="15"/>
      <c r="C262" s="16"/>
      <c r="D262" s="14"/>
      <c r="E262" s="14"/>
      <c r="F262" s="14"/>
      <c r="G262" s="15"/>
      <c r="H262" s="15"/>
      <c r="I262" s="17" t="str">
        <f aca="false">IF(OR(AND($A262="",$B262="",$C262="",$D262="",$E262="",$F262="",$G262="",$H262=""),NOT($S262="")),"",ROUND($C262*($D262+$E262)/60,4))</f>
        <v/>
      </c>
      <c r="J262" s="18" t="str">
        <f aca="false">IF(OR(AND($A262="",$B262="",$C262="",$D262="",$E262="",$F262="",$G262="",$H262=""),NOT($S262="")),"",ROUND(ROUND($C262*($D262+$E262)/60*$B$5,9),2))</f>
        <v/>
      </c>
      <c r="K262" s="18" t="str">
        <f aca="false">IF(OR(AND($A262="",$B262="",$C262="",$D262="",$E262="",$F262="",$G262="",$H262=""),NOT($S262="")),"",ROUND(ROUND($C262*$F262*$B$6,9),2))</f>
        <v/>
      </c>
      <c r="L262" s="18" t="str">
        <f aca="false">IF(OR(AND($A262="",$B262="",$C262="",$D262="",$E262="",$F262="",$G262="",$H262=""),NOT($S262="")),"",ROUND(ROUND($C262*$G262,9),2))</f>
        <v/>
      </c>
      <c r="M262" s="19" t="str">
        <f aca="false">IF(OR(AND($A262="",$B262="",$C262="",$D262="",$E262="",$F262="",$G262="",$H262=""),NOT($S262="")),"",ROUND($J262+$K262+$L262+$H262,2))</f>
        <v/>
      </c>
      <c r="N262" s="19" t="str">
        <f aca="false">IF(OR(AND($A262="",$B262="",$C262="",$D262="",$E262="",$F262="",$G262="",$H262=""),NOT($S262="")),"",ROUND($B262-$M262,2))</f>
        <v/>
      </c>
      <c r="O262" s="20" t="str">
        <f aca="false">IF(OR(AND($A262="",$B262="",$C262="",$D262="",$E262="",$F262="",$G262="",$H262=""),NOT($S262="")),"",IF($B262=0,"n/a",INT(ROUND($N262/$B262*10000,6))/10000))</f>
        <v/>
      </c>
      <c r="P262" s="18" t="str">
        <f aca="false">IF(OR(AND($A262="",$B262="",$C262="",$D262="",$E262="",$F262="",$G262="",$H262=""),NOT($S262="")),"",ROUNDUP(ROUND($M262*10000/(10000-TargetH),9),2))</f>
        <v/>
      </c>
      <c r="Q262" s="18" t="str">
        <f aca="false">IF(OR(AND($A262="",$B262="",$C262="",$D262="",$E262="",$F262="",$G262="",$H262=""),NOT($S262="")),"",MAX(0,ROUND($P262-$B262,2)))</f>
        <v/>
      </c>
      <c r="R262" s="21" t="str">
        <f aca="false">IF(AND($A262="",$B262="",$C262="",$D262="",$E262="",$F262="",$G262="",$H262=""),"",IF(NOT($S262=""),"Check inputs",IF($B262=0,"No fee entered",IF($N262&lt;0,"Losing money on entered costs",IF(ROUND($N262*100,0)*10000&lt;TargetH*ROUND($B262*100,0),"Below your target","Meets your target")))))</f>
        <v/>
      </c>
      <c r="S262" s="22" t="str">
        <f aca="false">IF(AND($A262="",$B262="",$C262="",$D262="",$E262="",$F262="",$G262="",$H262=""),"",TRIM(IF($A262="","Customer/site label is missing. ","")&amp;IF($B262="","Monthly fee is missing. ",IF(NOT(ISNUMBER($B262)),"Monthly fee must be a number. ",IF($B262&lt;0,"Monthly fee can't be negative. ",IF(ROUND($B262,2)&lt;&gt;$B262,"Monthly fee: use up to 2 decimal places. ",IF($B262&gt;99999.99,"Monthly fee: use 99,999.99 or less. ","")))))&amp;IF($C262="","Visits per month is missing. ",IF(NOT(ISNUMBER($C262)),"Visits per month must be a number. ",IF($C262&lt;0,"Visits per month can't be negative. ",IF(ROUND($C262,3)&lt;&gt;$C262,"Visits per month: use up to 3 decimal places. ",IF($C262=0,"Visits per month must be more than 0. ",IF($C262&gt;31,"Visits per month: use 31 or less. ",""))))))&amp;IF($D262="","Service minutes per visit is missing. ",IF(NOT(ISNUMBER($D262)),"Service minutes per visit must be a number. ",IF($D262&lt;0,"Service minutes per visit can't be negative. ",IF(ROUND($D262,2)&lt;&gt;$D262,"Service minutes per visit: use up to 2 decimal places. ",IF($D262=0,"Service minutes per visit must be more than 0. ",IF($D262&gt;600,"Service minutes per visit: use 600 or less. ",""))))))&amp;IF($E262="","Drive minutes per visit is missing. ",IF(NOT(ISNUMBER($E262)),"Drive minutes per visit must be a number. ",IF($E262&lt;0,"Drive minutes per visit can't be negative. ",IF(ROUND($E262,2)&lt;&gt;$E262,"Drive minutes per visit: use up to 2 decimal places. ",IF($E262&gt;600,"Drive minutes per visit: use 600 or less. ","")))))&amp;IF($F262="","Drive miles per visit is missing. ",IF(NOT(ISNUMBER($F262)),"Drive miles per visit must be a number. ",IF($F262&lt;0,"Drive miles per visit can't be negative. ",IF(ROUND($F262,2)&lt;&gt;$F262,"Drive miles per visit: use up to 2 decimal places. ",IF($F262&gt;1000,"Drive miles per visit: use 1,000 or less. ","")))))&amp;IF($G262="","Chemicals per visit is missing. ",IF(NOT(ISNUMBER($G262)),"Chemicals per visit must be a number. ",IF($G262&lt;0,"Chemicals per visit can't be negative. ",IF(ROUND($G262,2)&lt;&gt;$G262,"Chemicals per visit: use up to 2 decimal places. ",IF($G262&gt;9999.99,"Chemicals per visit: use 9,999.99 or less. ","")))))&amp;IF($H262="","Other monthly costs is missing. ",IF(NOT(ISNUMBER($H262)),"Other monthly costs must be a number. ",IF($H262&lt;0,"Other monthly costs can't be negative. ",IF(ROUND($H262,2)&lt;&gt;$H262,"Other monthly costs: use up to 2 decimal places. ",IF($H262&gt;99999.99,"Other monthly costs: use 99,999.99 or less. ","")))))&amp;IF(SettingsOK,"","Settings incomplete.")))</f>
        <v/>
      </c>
      <c r="T262" s="23" t="str">
        <f aca="false">IF(AND($A262="",$B262="",$C262="",$D262="",$E262="",$F262="",$G262="",$H262=""),"",IF(Review!$B$5="Check inputs",IF($R262="Check inputs",ROW(),""),IF($R262="Check inputs",IF(Review!$B$5="All accounts",-2000000000000000+ROW(),""),IF(AND(Review!$B$5="Needs review",$R262="Meets your target"),"",IF($R262="No fee entered",-1000000000000000+ROW(),$N262/$B262+ROW()/1000000000)))))</f>
        <v/>
      </c>
    </row>
    <row r="263" customFormat="false" ht="15" hidden="false" customHeight="false" outlineLevel="0" collapsed="false">
      <c r="A263" s="14"/>
      <c r="B263" s="15"/>
      <c r="C263" s="16"/>
      <c r="D263" s="14"/>
      <c r="E263" s="14"/>
      <c r="F263" s="14"/>
      <c r="G263" s="15"/>
      <c r="H263" s="15"/>
      <c r="I263" s="17" t="str">
        <f aca="false">IF(OR(AND($A263="",$B263="",$C263="",$D263="",$E263="",$F263="",$G263="",$H263=""),NOT($S263="")),"",ROUND($C263*($D263+$E263)/60,4))</f>
        <v/>
      </c>
      <c r="J263" s="18" t="str">
        <f aca="false">IF(OR(AND($A263="",$B263="",$C263="",$D263="",$E263="",$F263="",$G263="",$H263=""),NOT($S263="")),"",ROUND(ROUND($C263*($D263+$E263)/60*$B$5,9),2))</f>
        <v/>
      </c>
      <c r="K263" s="18" t="str">
        <f aca="false">IF(OR(AND($A263="",$B263="",$C263="",$D263="",$E263="",$F263="",$G263="",$H263=""),NOT($S263="")),"",ROUND(ROUND($C263*$F263*$B$6,9),2))</f>
        <v/>
      </c>
      <c r="L263" s="18" t="str">
        <f aca="false">IF(OR(AND($A263="",$B263="",$C263="",$D263="",$E263="",$F263="",$G263="",$H263=""),NOT($S263="")),"",ROUND(ROUND($C263*$G263,9),2))</f>
        <v/>
      </c>
      <c r="M263" s="19" t="str">
        <f aca="false">IF(OR(AND($A263="",$B263="",$C263="",$D263="",$E263="",$F263="",$G263="",$H263=""),NOT($S263="")),"",ROUND($J263+$K263+$L263+$H263,2))</f>
        <v/>
      </c>
      <c r="N263" s="19" t="str">
        <f aca="false">IF(OR(AND($A263="",$B263="",$C263="",$D263="",$E263="",$F263="",$G263="",$H263=""),NOT($S263="")),"",ROUND($B263-$M263,2))</f>
        <v/>
      </c>
      <c r="O263" s="20" t="str">
        <f aca="false">IF(OR(AND($A263="",$B263="",$C263="",$D263="",$E263="",$F263="",$G263="",$H263=""),NOT($S263="")),"",IF($B263=0,"n/a",INT(ROUND($N263/$B263*10000,6))/10000))</f>
        <v/>
      </c>
      <c r="P263" s="18" t="str">
        <f aca="false">IF(OR(AND($A263="",$B263="",$C263="",$D263="",$E263="",$F263="",$G263="",$H263=""),NOT($S263="")),"",ROUNDUP(ROUND($M263*10000/(10000-TargetH),9),2))</f>
        <v/>
      </c>
      <c r="Q263" s="18" t="str">
        <f aca="false">IF(OR(AND($A263="",$B263="",$C263="",$D263="",$E263="",$F263="",$G263="",$H263=""),NOT($S263="")),"",MAX(0,ROUND($P263-$B263,2)))</f>
        <v/>
      </c>
      <c r="R263" s="21" t="str">
        <f aca="false">IF(AND($A263="",$B263="",$C263="",$D263="",$E263="",$F263="",$G263="",$H263=""),"",IF(NOT($S263=""),"Check inputs",IF($B263=0,"No fee entered",IF($N263&lt;0,"Losing money on entered costs",IF(ROUND($N263*100,0)*10000&lt;TargetH*ROUND($B263*100,0),"Below your target","Meets your target")))))</f>
        <v/>
      </c>
      <c r="S263" s="22" t="str">
        <f aca="false">IF(AND($A263="",$B263="",$C263="",$D263="",$E263="",$F263="",$G263="",$H263=""),"",TRIM(IF($A263="","Customer/site label is missing. ","")&amp;IF($B263="","Monthly fee is missing. ",IF(NOT(ISNUMBER($B263)),"Monthly fee must be a number. ",IF($B263&lt;0,"Monthly fee can't be negative. ",IF(ROUND($B263,2)&lt;&gt;$B263,"Monthly fee: use up to 2 decimal places. ",IF($B263&gt;99999.99,"Monthly fee: use 99,999.99 or less. ","")))))&amp;IF($C263="","Visits per month is missing. ",IF(NOT(ISNUMBER($C263)),"Visits per month must be a number. ",IF($C263&lt;0,"Visits per month can't be negative. ",IF(ROUND($C263,3)&lt;&gt;$C263,"Visits per month: use up to 3 decimal places. ",IF($C263=0,"Visits per month must be more than 0. ",IF($C263&gt;31,"Visits per month: use 31 or less. ",""))))))&amp;IF($D263="","Service minutes per visit is missing. ",IF(NOT(ISNUMBER($D263)),"Service minutes per visit must be a number. ",IF($D263&lt;0,"Service minutes per visit can't be negative. ",IF(ROUND($D263,2)&lt;&gt;$D263,"Service minutes per visit: use up to 2 decimal places. ",IF($D263=0,"Service minutes per visit must be more than 0. ",IF($D263&gt;600,"Service minutes per visit: use 600 or less. ",""))))))&amp;IF($E263="","Drive minutes per visit is missing. ",IF(NOT(ISNUMBER($E263)),"Drive minutes per visit must be a number. ",IF($E263&lt;0,"Drive minutes per visit can't be negative. ",IF(ROUND($E263,2)&lt;&gt;$E263,"Drive minutes per visit: use up to 2 decimal places. ",IF($E263&gt;600,"Drive minutes per visit: use 600 or less. ","")))))&amp;IF($F263="","Drive miles per visit is missing. ",IF(NOT(ISNUMBER($F263)),"Drive miles per visit must be a number. ",IF($F263&lt;0,"Drive miles per visit can't be negative. ",IF(ROUND($F263,2)&lt;&gt;$F263,"Drive miles per visit: use up to 2 decimal places. ",IF($F263&gt;1000,"Drive miles per visit: use 1,000 or less. ","")))))&amp;IF($G263="","Chemicals per visit is missing. ",IF(NOT(ISNUMBER($G263)),"Chemicals per visit must be a number. ",IF($G263&lt;0,"Chemicals per visit can't be negative. ",IF(ROUND($G263,2)&lt;&gt;$G263,"Chemicals per visit: use up to 2 decimal places. ",IF($G263&gt;9999.99,"Chemicals per visit: use 9,999.99 or less. ","")))))&amp;IF($H263="","Other monthly costs is missing. ",IF(NOT(ISNUMBER($H263)),"Other monthly costs must be a number. ",IF($H263&lt;0,"Other monthly costs can't be negative. ",IF(ROUND($H263,2)&lt;&gt;$H263,"Other monthly costs: use up to 2 decimal places. ",IF($H263&gt;99999.99,"Other monthly costs: use 99,999.99 or less. ","")))))&amp;IF(SettingsOK,"","Settings incomplete.")))</f>
        <v/>
      </c>
      <c r="T263" s="23" t="str">
        <f aca="false">IF(AND($A263="",$B263="",$C263="",$D263="",$E263="",$F263="",$G263="",$H263=""),"",IF(Review!$B$5="Check inputs",IF($R263="Check inputs",ROW(),""),IF($R263="Check inputs",IF(Review!$B$5="All accounts",-2000000000000000+ROW(),""),IF(AND(Review!$B$5="Needs review",$R263="Meets your target"),"",IF($R263="No fee entered",-1000000000000000+ROW(),$N263/$B263+ROW()/1000000000)))))</f>
        <v/>
      </c>
    </row>
    <row r="264" customFormat="false" ht="15" hidden="false" customHeight="false" outlineLevel="0" collapsed="false">
      <c r="A264" s="14"/>
      <c r="B264" s="15"/>
      <c r="C264" s="16"/>
      <c r="D264" s="14"/>
      <c r="E264" s="14"/>
      <c r="F264" s="14"/>
      <c r="G264" s="15"/>
      <c r="H264" s="15"/>
      <c r="I264" s="17" t="str">
        <f aca="false">IF(OR(AND($A264="",$B264="",$C264="",$D264="",$E264="",$F264="",$G264="",$H264=""),NOT($S264="")),"",ROUND($C264*($D264+$E264)/60,4))</f>
        <v/>
      </c>
      <c r="J264" s="18" t="str">
        <f aca="false">IF(OR(AND($A264="",$B264="",$C264="",$D264="",$E264="",$F264="",$G264="",$H264=""),NOT($S264="")),"",ROUND(ROUND($C264*($D264+$E264)/60*$B$5,9),2))</f>
        <v/>
      </c>
      <c r="K264" s="18" t="str">
        <f aca="false">IF(OR(AND($A264="",$B264="",$C264="",$D264="",$E264="",$F264="",$G264="",$H264=""),NOT($S264="")),"",ROUND(ROUND($C264*$F264*$B$6,9),2))</f>
        <v/>
      </c>
      <c r="L264" s="18" t="str">
        <f aca="false">IF(OR(AND($A264="",$B264="",$C264="",$D264="",$E264="",$F264="",$G264="",$H264=""),NOT($S264="")),"",ROUND(ROUND($C264*$G264,9),2))</f>
        <v/>
      </c>
      <c r="M264" s="19" t="str">
        <f aca="false">IF(OR(AND($A264="",$B264="",$C264="",$D264="",$E264="",$F264="",$G264="",$H264=""),NOT($S264="")),"",ROUND($J264+$K264+$L264+$H264,2))</f>
        <v/>
      </c>
      <c r="N264" s="19" t="str">
        <f aca="false">IF(OR(AND($A264="",$B264="",$C264="",$D264="",$E264="",$F264="",$G264="",$H264=""),NOT($S264="")),"",ROUND($B264-$M264,2))</f>
        <v/>
      </c>
      <c r="O264" s="20" t="str">
        <f aca="false">IF(OR(AND($A264="",$B264="",$C264="",$D264="",$E264="",$F264="",$G264="",$H264=""),NOT($S264="")),"",IF($B264=0,"n/a",INT(ROUND($N264/$B264*10000,6))/10000))</f>
        <v/>
      </c>
      <c r="P264" s="18" t="str">
        <f aca="false">IF(OR(AND($A264="",$B264="",$C264="",$D264="",$E264="",$F264="",$G264="",$H264=""),NOT($S264="")),"",ROUNDUP(ROUND($M264*10000/(10000-TargetH),9),2))</f>
        <v/>
      </c>
      <c r="Q264" s="18" t="str">
        <f aca="false">IF(OR(AND($A264="",$B264="",$C264="",$D264="",$E264="",$F264="",$G264="",$H264=""),NOT($S264="")),"",MAX(0,ROUND($P264-$B264,2)))</f>
        <v/>
      </c>
      <c r="R264" s="21" t="str">
        <f aca="false">IF(AND($A264="",$B264="",$C264="",$D264="",$E264="",$F264="",$G264="",$H264=""),"",IF(NOT($S264=""),"Check inputs",IF($B264=0,"No fee entered",IF($N264&lt;0,"Losing money on entered costs",IF(ROUND($N264*100,0)*10000&lt;TargetH*ROUND($B264*100,0),"Below your target","Meets your target")))))</f>
        <v/>
      </c>
      <c r="S264" s="22" t="str">
        <f aca="false">IF(AND($A264="",$B264="",$C264="",$D264="",$E264="",$F264="",$G264="",$H264=""),"",TRIM(IF($A264="","Customer/site label is missing. ","")&amp;IF($B264="","Monthly fee is missing. ",IF(NOT(ISNUMBER($B264)),"Monthly fee must be a number. ",IF($B264&lt;0,"Monthly fee can't be negative. ",IF(ROUND($B264,2)&lt;&gt;$B264,"Monthly fee: use up to 2 decimal places. ",IF($B264&gt;99999.99,"Monthly fee: use 99,999.99 or less. ","")))))&amp;IF($C264="","Visits per month is missing. ",IF(NOT(ISNUMBER($C264)),"Visits per month must be a number. ",IF($C264&lt;0,"Visits per month can't be negative. ",IF(ROUND($C264,3)&lt;&gt;$C264,"Visits per month: use up to 3 decimal places. ",IF($C264=0,"Visits per month must be more than 0. ",IF($C264&gt;31,"Visits per month: use 31 or less. ",""))))))&amp;IF($D264="","Service minutes per visit is missing. ",IF(NOT(ISNUMBER($D264)),"Service minutes per visit must be a number. ",IF($D264&lt;0,"Service minutes per visit can't be negative. ",IF(ROUND($D264,2)&lt;&gt;$D264,"Service minutes per visit: use up to 2 decimal places. ",IF($D264=0,"Service minutes per visit must be more than 0. ",IF($D264&gt;600,"Service minutes per visit: use 600 or less. ",""))))))&amp;IF($E264="","Drive minutes per visit is missing. ",IF(NOT(ISNUMBER($E264)),"Drive minutes per visit must be a number. ",IF($E264&lt;0,"Drive minutes per visit can't be negative. ",IF(ROUND($E264,2)&lt;&gt;$E264,"Drive minutes per visit: use up to 2 decimal places. ",IF($E264&gt;600,"Drive minutes per visit: use 600 or less. ","")))))&amp;IF($F264="","Drive miles per visit is missing. ",IF(NOT(ISNUMBER($F264)),"Drive miles per visit must be a number. ",IF($F264&lt;0,"Drive miles per visit can't be negative. ",IF(ROUND($F264,2)&lt;&gt;$F264,"Drive miles per visit: use up to 2 decimal places. ",IF($F264&gt;1000,"Drive miles per visit: use 1,000 or less. ","")))))&amp;IF($G264="","Chemicals per visit is missing. ",IF(NOT(ISNUMBER($G264)),"Chemicals per visit must be a number. ",IF($G264&lt;0,"Chemicals per visit can't be negative. ",IF(ROUND($G264,2)&lt;&gt;$G264,"Chemicals per visit: use up to 2 decimal places. ",IF($G264&gt;9999.99,"Chemicals per visit: use 9,999.99 or less. ","")))))&amp;IF($H264="","Other monthly costs is missing. ",IF(NOT(ISNUMBER($H264)),"Other monthly costs must be a number. ",IF($H264&lt;0,"Other monthly costs can't be negative. ",IF(ROUND($H264,2)&lt;&gt;$H264,"Other monthly costs: use up to 2 decimal places. ",IF($H264&gt;99999.99,"Other monthly costs: use 99,999.99 or less. ","")))))&amp;IF(SettingsOK,"","Settings incomplete.")))</f>
        <v/>
      </c>
      <c r="T264" s="23" t="str">
        <f aca="false">IF(AND($A264="",$B264="",$C264="",$D264="",$E264="",$F264="",$G264="",$H264=""),"",IF(Review!$B$5="Check inputs",IF($R264="Check inputs",ROW(),""),IF($R264="Check inputs",IF(Review!$B$5="All accounts",-2000000000000000+ROW(),""),IF(AND(Review!$B$5="Needs review",$R264="Meets your target"),"",IF($R264="No fee entered",-1000000000000000+ROW(),$N264/$B264+ROW()/1000000000)))))</f>
        <v/>
      </c>
    </row>
    <row r="265" customFormat="false" ht="15" hidden="false" customHeight="false" outlineLevel="0" collapsed="false">
      <c r="A265" s="14"/>
      <c r="B265" s="15"/>
      <c r="C265" s="16"/>
      <c r="D265" s="14"/>
      <c r="E265" s="14"/>
      <c r="F265" s="14"/>
      <c r="G265" s="15"/>
      <c r="H265" s="15"/>
      <c r="I265" s="17" t="str">
        <f aca="false">IF(OR(AND($A265="",$B265="",$C265="",$D265="",$E265="",$F265="",$G265="",$H265=""),NOT($S265="")),"",ROUND($C265*($D265+$E265)/60,4))</f>
        <v/>
      </c>
      <c r="J265" s="18" t="str">
        <f aca="false">IF(OR(AND($A265="",$B265="",$C265="",$D265="",$E265="",$F265="",$G265="",$H265=""),NOT($S265="")),"",ROUND(ROUND($C265*($D265+$E265)/60*$B$5,9),2))</f>
        <v/>
      </c>
      <c r="K265" s="18" t="str">
        <f aca="false">IF(OR(AND($A265="",$B265="",$C265="",$D265="",$E265="",$F265="",$G265="",$H265=""),NOT($S265="")),"",ROUND(ROUND($C265*$F265*$B$6,9),2))</f>
        <v/>
      </c>
      <c r="L265" s="18" t="str">
        <f aca="false">IF(OR(AND($A265="",$B265="",$C265="",$D265="",$E265="",$F265="",$G265="",$H265=""),NOT($S265="")),"",ROUND(ROUND($C265*$G265,9),2))</f>
        <v/>
      </c>
      <c r="M265" s="19" t="str">
        <f aca="false">IF(OR(AND($A265="",$B265="",$C265="",$D265="",$E265="",$F265="",$G265="",$H265=""),NOT($S265="")),"",ROUND($J265+$K265+$L265+$H265,2))</f>
        <v/>
      </c>
      <c r="N265" s="19" t="str">
        <f aca="false">IF(OR(AND($A265="",$B265="",$C265="",$D265="",$E265="",$F265="",$G265="",$H265=""),NOT($S265="")),"",ROUND($B265-$M265,2))</f>
        <v/>
      </c>
      <c r="O265" s="20" t="str">
        <f aca="false">IF(OR(AND($A265="",$B265="",$C265="",$D265="",$E265="",$F265="",$G265="",$H265=""),NOT($S265="")),"",IF($B265=0,"n/a",INT(ROUND($N265/$B265*10000,6))/10000))</f>
        <v/>
      </c>
      <c r="P265" s="18" t="str">
        <f aca="false">IF(OR(AND($A265="",$B265="",$C265="",$D265="",$E265="",$F265="",$G265="",$H265=""),NOT($S265="")),"",ROUNDUP(ROUND($M265*10000/(10000-TargetH),9),2))</f>
        <v/>
      </c>
      <c r="Q265" s="18" t="str">
        <f aca="false">IF(OR(AND($A265="",$B265="",$C265="",$D265="",$E265="",$F265="",$G265="",$H265=""),NOT($S265="")),"",MAX(0,ROUND($P265-$B265,2)))</f>
        <v/>
      </c>
      <c r="R265" s="21" t="str">
        <f aca="false">IF(AND($A265="",$B265="",$C265="",$D265="",$E265="",$F265="",$G265="",$H265=""),"",IF(NOT($S265=""),"Check inputs",IF($B265=0,"No fee entered",IF($N265&lt;0,"Losing money on entered costs",IF(ROUND($N265*100,0)*10000&lt;TargetH*ROUND($B265*100,0),"Below your target","Meets your target")))))</f>
        <v/>
      </c>
      <c r="S265" s="22" t="str">
        <f aca="false">IF(AND($A265="",$B265="",$C265="",$D265="",$E265="",$F265="",$G265="",$H265=""),"",TRIM(IF($A265="","Customer/site label is missing. ","")&amp;IF($B265="","Monthly fee is missing. ",IF(NOT(ISNUMBER($B265)),"Monthly fee must be a number. ",IF($B265&lt;0,"Monthly fee can't be negative. ",IF(ROUND($B265,2)&lt;&gt;$B265,"Monthly fee: use up to 2 decimal places. ",IF($B265&gt;99999.99,"Monthly fee: use 99,999.99 or less. ","")))))&amp;IF($C265="","Visits per month is missing. ",IF(NOT(ISNUMBER($C265)),"Visits per month must be a number. ",IF($C265&lt;0,"Visits per month can't be negative. ",IF(ROUND($C265,3)&lt;&gt;$C265,"Visits per month: use up to 3 decimal places. ",IF($C265=0,"Visits per month must be more than 0. ",IF($C265&gt;31,"Visits per month: use 31 or less. ",""))))))&amp;IF($D265="","Service minutes per visit is missing. ",IF(NOT(ISNUMBER($D265)),"Service minutes per visit must be a number. ",IF($D265&lt;0,"Service minutes per visit can't be negative. ",IF(ROUND($D265,2)&lt;&gt;$D265,"Service minutes per visit: use up to 2 decimal places. ",IF($D265=0,"Service minutes per visit must be more than 0. ",IF($D265&gt;600,"Service minutes per visit: use 600 or less. ",""))))))&amp;IF($E265="","Drive minutes per visit is missing. ",IF(NOT(ISNUMBER($E265)),"Drive minutes per visit must be a number. ",IF($E265&lt;0,"Drive minutes per visit can't be negative. ",IF(ROUND($E265,2)&lt;&gt;$E265,"Drive minutes per visit: use up to 2 decimal places. ",IF($E265&gt;600,"Drive minutes per visit: use 600 or less. ","")))))&amp;IF($F265="","Drive miles per visit is missing. ",IF(NOT(ISNUMBER($F265)),"Drive miles per visit must be a number. ",IF($F265&lt;0,"Drive miles per visit can't be negative. ",IF(ROUND($F265,2)&lt;&gt;$F265,"Drive miles per visit: use up to 2 decimal places. ",IF($F265&gt;1000,"Drive miles per visit: use 1,000 or less. ","")))))&amp;IF($G265="","Chemicals per visit is missing. ",IF(NOT(ISNUMBER($G265)),"Chemicals per visit must be a number. ",IF($G265&lt;0,"Chemicals per visit can't be negative. ",IF(ROUND($G265,2)&lt;&gt;$G265,"Chemicals per visit: use up to 2 decimal places. ",IF($G265&gt;9999.99,"Chemicals per visit: use 9,999.99 or less. ","")))))&amp;IF($H265="","Other monthly costs is missing. ",IF(NOT(ISNUMBER($H265)),"Other monthly costs must be a number. ",IF($H265&lt;0,"Other monthly costs can't be negative. ",IF(ROUND($H265,2)&lt;&gt;$H265,"Other monthly costs: use up to 2 decimal places. ",IF($H265&gt;99999.99,"Other monthly costs: use 99,999.99 or less. ","")))))&amp;IF(SettingsOK,"","Settings incomplete.")))</f>
        <v/>
      </c>
      <c r="T265" s="23" t="str">
        <f aca="false">IF(AND($A265="",$B265="",$C265="",$D265="",$E265="",$F265="",$G265="",$H265=""),"",IF(Review!$B$5="Check inputs",IF($R265="Check inputs",ROW(),""),IF($R265="Check inputs",IF(Review!$B$5="All accounts",-2000000000000000+ROW(),""),IF(AND(Review!$B$5="Needs review",$R265="Meets your target"),"",IF($R265="No fee entered",-1000000000000000+ROW(),$N265/$B265+ROW()/1000000000)))))</f>
        <v/>
      </c>
    </row>
    <row r="266" customFormat="false" ht="15" hidden="false" customHeight="false" outlineLevel="0" collapsed="false">
      <c r="A266" s="14"/>
      <c r="B266" s="15"/>
      <c r="C266" s="16"/>
      <c r="D266" s="14"/>
      <c r="E266" s="14"/>
      <c r="F266" s="14"/>
      <c r="G266" s="15"/>
      <c r="H266" s="15"/>
      <c r="I266" s="17" t="str">
        <f aca="false">IF(OR(AND($A266="",$B266="",$C266="",$D266="",$E266="",$F266="",$G266="",$H266=""),NOT($S266="")),"",ROUND($C266*($D266+$E266)/60,4))</f>
        <v/>
      </c>
      <c r="J266" s="18" t="str">
        <f aca="false">IF(OR(AND($A266="",$B266="",$C266="",$D266="",$E266="",$F266="",$G266="",$H266=""),NOT($S266="")),"",ROUND(ROUND($C266*($D266+$E266)/60*$B$5,9),2))</f>
        <v/>
      </c>
      <c r="K266" s="18" t="str">
        <f aca="false">IF(OR(AND($A266="",$B266="",$C266="",$D266="",$E266="",$F266="",$G266="",$H266=""),NOT($S266="")),"",ROUND(ROUND($C266*$F266*$B$6,9),2))</f>
        <v/>
      </c>
      <c r="L266" s="18" t="str">
        <f aca="false">IF(OR(AND($A266="",$B266="",$C266="",$D266="",$E266="",$F266="",$G266="",$H266=""),NOT($S266="")),"",ROUND(ROUND($C266*$G266,9),2))</f>
        <v/>
      </c>
      <c r="M266" s="19" t="str">
        <f aca="false">IF(OR(AND($A266="",$B266="",$C266="",$D266="",$E266="",$F266="",$G266="",$H266=""),NOT($S266="")),"",ROUND($J266+$K266+$L266+$H266,2))</f>
        <v/>
      </c>
      <c r="N266" s="19" t="str">
        <f aca="false">IF(OR(AND($A266="",$B266="",$C266="",$D266="",$E266="",$F266="",$G266="",$H266=""),NOT($S266="")),"",ROUND($B266-$M266,2))</f>
        <v/>
      </c>
      <c r="O266" s="20" t="str">
        <f aca="false">IF(OR(AND($A266="",$B266="",$C266="",$D266="",$E266="",$F266="",$G266="",$H266=""),NOT($S266="")),"",IF($B266=0,"n/a",INT(ROUND($N266/$B266*10000,6))/10000))</f>
        <v/>
      </c>
      <c r="P266" s="18" t="str">
        <f aca="false">IF(OR(AND($A266="",$B266="",$C266="",$D266="",$E266="",$F266="",$G266="",$H266=""),NOT($S266="")),"",ROUNDUP(ROUND($M266*10000/(10000-TargetH),9),2))</f>
        <v/>
      </c>
      <c r="Q266" s="18" t="str">
        <f aca="false">IF(OR(AND($A266="",$B266="",$C266="",$D266="",$E266="",$F266="",$G266="",$H266=""),NOT($S266="")),"",MAX(0,ROUND($P266-$B266,2)))</f>
        <v/>
      </c>
      <c r="R266" s="21" t="str">
        <f aca="false">IF(AND($A266="",$B266="",$C266="",$D266="",$E266="",$F266="",$G266="",$H266=""),"",IF(NOT($S266=""),"Check inputs",IF($B266=0,"No fee entered",IF($N266&lt;0,"Losing money on entered costs",IF(ROUND($N266*100,0)*10000&lt;TargetH*ROUND($B266*100,0),"Below your target","Meets your target")))))</f>
        <v/>
      </c>
      <c r="S266" s="22" t="str">
        <f aca="false">IF(AND($A266="",$B266="",$C266="",$D266="",$E266="",$F266="",$G266="",$H266=""),"",TRIM(IF($A266="","Customer/site label is missing. ","")&amp;IF($B266="","Monthly fee is missing. ",IF(NOT(ISNUMBER($B266)),"Monthly fee must be a number. ",IF($B266&lt;0,"Monthly fee can't be negative. ",IF(ROUND($B266,2)&lt;&gt;$B266,"Monthly fee: use up to 2 decimal places. ",IF($B266&gt;99999.99,"Monthly fee: use 99,999.99 or less. ","")))))&amp;IF($C266="","Visits per month is missing. ",IF(NOT(ISNUMBER($C266)),"Visits per month must be a number. ",IF($C266&lt;0,"Visits per month can't be negative. ",IF(ROUND($C266,3)&lt;&gt;$C266,"Visits per month: use up to 3 decimal places. ",IF($C266=0,"Visits per month must be more than 0. ",IF($C266&gt;31,"Visits per month: use 31 or less. ",""))))))&amp;IF($D266="","Service minutes per visit is missing. ",IF(NOT(ISNUMBER($D266)),"Service minutes per visit must be a number. ",IF($D266&lt;0,"Service minutes per visit can't be negative. ",IF(ROUND($D266,2)&lt;&gt;$D266,"Service minutes per visit: use up to 2 decimal places. ",IF($D266=0,"Service minutes per visit must be more than 0. ",IF($D266&gt;600,"Service minutes per visit: use 600 or less. ",""))))))&amp;IF($E266="","Drive minutes per visit is missing. ",IF(NOT(ISNUMBER($E266)),"Drive minutes per visit must be a number. ",IF($E266&lt;0,"Drive minutes per visit can't be negative. ",IF(ROUND($E266,2)&lt;&gt;$E266,"Drive minutes per visit: use up to 2 decimal places. ",IF($E266&gt;600,"Drive minutes per visit: use 600 or less. ","")))))&amp;IF($F266="","Drive miles per visit is missing. ",IF(NOT(ISNUMBER($F266)),"Drive miles per visit must be a number. ",IF($F266&lt;0,"Drive miles per visit can't be negative. ",IF(ROUND($F266,2)&lt;&gt;$F266,"Drive miles per visit: use up to 2 decimal places. ",IF($F266&gt;1000,"Drive miles per visit: use 1,000 or less. ","")))))&amp;IF($G266="","Chemicals per visit is missing. ",IF(NOT(ISNUMBER($G266)),"Chemicals per visit must be a number. ",IF($G266&lt;0,"Chemicals per visit can't be negative. ",IF(ROUND($G266,2)&lt;&gt;$G266,"Chemicals per visit: use up to 2 decimal places. ",IF($G266&gt;9999.99,"Chemicals per visit: use 9,999.99 or less. ","")))))&amp;IF($H266="","Other monthly costs is missing. ",IF(NOT(ISNUMBER($H266)),"Other monthly costs must be a number. ",IF($H266&lt;0,"Other monthly costs can't be negative. ",IF(ROUND($H266,2)&lt;&gt;$H266,"Other monthly costs: use up to 2 decimal places. ",IF($H266&gt;99999.99,"Other monthly costs: use 99,999.99 or less. ","")))))&amp;IF(SettingsOK,"","Settings incomplete.")))</f>
        <v/>
      </c>
      <c r="T266" s="23" t="str">
        <f aca="false">IF(AND($A266="",$B266="",$C266="",$D266="",$E266="",$F266="",$G266="",$H266=""),"",IF(Review!$B$5="Check inputs",IF($R266="Check inputs",ROW(),""),IF($R266="Check inputs",IF(Review!$B$5="All accounts",-2000000000000000+ROW(),""),IF(AND(Review!$B$5="Needs review",$R266="Meets your target"),"",IF($R266="No fee entered",-1000000000000000+ROW(),$N266/$B266+ROW()/1000000000)))))</f>
        <v/>
      </c>
    </row>
    <row r="267" customFormat="false" ht="15" hidden="false" customHeight="false" outlineLevel="0" collapsed="false">
      <c r="A267" s="14"/>
      <c r="B267" s="15"/>
      <c r="C267" s="16"/>
      <c r="D267" s="14"/>
      <c r="E267" s="14"/>
      <c r="F267" s="14"/>
      <c r="G267" s="15"/>
      <c r="H267" s="15"/>
      <c r="I267" s="17" t="str">
        <f aca="false">IF(OR(AND($A267="",$B267="",$C267="",$D267="",$E267="",$F267="",$G267="",$H267=""),NOT($S267="")),"",ROUND($C267*($D267+$E267)/60,4))</f>
        <v/>
      </c>
      <c r="J267" s="18" t="str">
        <f aca="false">IF(OR(AND($A267="",$B267="",$C267="",$D267="",$E267="",$F267="",$G267="",$H267=""),NOT($S267="")),"",ROUND(ROUND($C267*($D267+$E267)/60*$B$5,9),2))</f>
        <v/>
      </c>
      <c r="K267" s="18" t="str">
        <f aca="false">IF(OR(AND($A267="",$B267="",$C267="",$D267="",$E267="",$F267="",$G267="",$H267=""),NOT($S267="")),"",ROUND(ROUND($C267*$F267*$B$6,9),2))</f>
        <v/>
      </c>
      <c r="L267" s="18" t="str">
        <f aca="false">IF(OR(AND($A267="",$B267="",$C267="",$D267="",$E267="",$F267="",$G267="",$H267=""),NOT($S267="")),"",ROUND(ROUND($C267*$G267,9),2))</f>
        <v/>
      </c>
      <c r="M267" s="19" t="str">
        <f aca="false">IF(OR(AND($A267="",$B267="",$C267="",$D267="",$E267="",$F267="",$G267="",$H267=""),NOT($S267="")),"",ROUND($J267+$K267+$L267+$H267,2))</f>
        <v/>
      </c>
      <c r="N267" s="19" t="str">
        <f aca="false">IF(OR(AND($A267="",$B267="",$C267="",$D267="",$E267="",$F267="",$G267="",$H267=""),NOT($S267="")),"",ROUND($B267-$M267,2))</f>
        <v/>
      </c>
      <c r="O267" s="20" t="str">
        <f aca="false">IF(OR(AND($A267="",$B267="",$C267="",$D267="",$E267="",$F267="",$G267="",$H267=""),NOT($S267="")),"",IF($B267=0,"n/a",INT(ROUND($N267/$B267*10000,6))/10000))</f>
        <v/>
      </c>
      <c r="P267" s="18" t="str">
        <f aca="false">IF(OR(AND($A267="",$B267="",$C267="",$D267="",$E267="",$F267="",$G267="",$H267=""),NOT($S267="")),"",ROUNDUP(ROUND($M267*10000/(10000-TargetH),9),2))</f>
        <v/>
      </c>
      <c r="Q267" s="18" t="str">
        <f aca="false">IF(OR(AND($A267="",$B267="",$C267="",$D267="",$E267="",$F267="",$G267="",$H267=""),NOT($S267="")),"",MAX(0,ROUND($P267-$B267,2)))</f>
        <v/>
      </c>
      <c r="R267" s="21" t="str">
        <f aca="false">IF(AND($A267="",$B267="",$C267="",$D267="",$E267="",$F267="",$G267="",$H267=""),"",IF(NOT($S267=""),"Check inputs",IF($B267=0,"No fee entered",IF($N267&lt;0,"Losing money on entered costs",IF(ROUND($N267*100,0)*10000&lt;TargetH*ROUND($B267*100,0),"Below your target","Meets your target")))))</f>
        <v/>
      </c>
      <c r="S267" s="22" t="str">
        <f aca="false">IF(AND($A267="",$B267="",$C267="",$D267="",$E267="",$F267="",$G267="",$H267=""),"",TRIM(IF($A267="","Customer/site label is missing. ","")&amp;IF($B267="","Monthly fee is missing. ",IF(NOT(ISNUMBER($B267)),"Monthly fee must be a number. ",IF($B267&lt;0,"Monthly fee can't be negative. ",IF(ROUND($B267,2)&lt;&gt;$B267,"Monthly fee: use up to 2 decimal places. ",IF($B267&gt;99999.99,"Monthly fee: use 99,999.99 or less. ","")))))&amp;IF($C267="","Visits per month is missing. ",IF(NOT(ISNUMBER($C267)),"Visits per month must be a number. ",IF($C267&lt;0,"Visits per month can't be negative. ",IF(ROUND($C267,3)&lt;&gt;$C267,"Visits per month: use up to 3 decimal places. ",IF($C267=0,"Visits per month must be more than 0. ",IF($C267&gt;31,"Visits per month: use 31 or less. ",""))))))&amp;IF($D267="","Service minutes per visit is missing. ",IF(NOT(ISNUMBER($D267)),"Service minutes per visit must be a number. ",IF($D267&lt;0,"Service minutes per visit can't be negative. ",IF(ROUND($D267,2)&lt;&gt;$D267,"Service minutes per visit: use up to 2 decimal places. ",IF($D267=0,"Service minutes per visit must be more than 0. ",IF($D267&gt;600,"Service minutes per visit: use 600 or less. ",""))))))&amp;IF($E267="","Drive minutes per visit is missing. ",IF(NOT(ISNUMBER($E267)),"Drive minutes per visit must be a number. ",IF($E267&lt;0,"Drive minutes per visit can't be negative. ",IF(ROUND($E267,2)&lt;&gt;$E267,"Drive minutes per visit: use up to 2 decimal places. ",IF($E267&gt;600,"Drive minutes per visit: use 600 or less. ","")))))&amp;IF($F267="","Drive miles per visit is missing. ",IF(NOT(ISNUMBER($F267)),"Drive miles per visit must be a number. ",IF($F267&lt;0,"Drive miles per visit can't be negative. ",IF(ROUND($F267,2)&lt;&gt;$F267,"Drive miles per visit: use up to 2 decimal places. ",IF($F267&gt;1000,"Drive miles per visit: use 1,000 or less. ","")))))&amp;IF($G267="","Chemicals per visit is missing. ",IF(NOT(ISNUMBER($G267)),"Chemicals per visit must be a number. ",IF($G267&lt;0,"Chemicals per visit can't be negative. ",IF(ROUND($G267,2)&lt;&gt;$G267,"Chemicals per visit: use up to 2 decimal places. ",IF($G267&gt;9999.99,"Chemicals per visit: use 9,999.99 or less. ","")))))&amp;IF($H267="","Other monthly costs is missing. ",IF(NOT(ISNUMBER($H267)),"Other monthly costs must be a number. ",IF($H267&lt;0,"Other monthly costs can't be negative. ",IF(ROUND($H267,2)&lt;&gt;$H267,"Other monthly costs: use up to 2 decimal places. ",IF($H267&gt;99999.99,"Other monthly costs: use 99,999.99 or less. ","")))))&amp;IF(SettingsOK,"","Settings incomplete.")))</f>
        <v/>
      </c>
      <c r="T267" s="23" t="str">
        <f aca="false">IF(AND($A267="",$B267="",$C267="",$D267="",$E267="",$F267="",$G267="",$H267=""),"",IF(Review!$B$5="Check inputs",IF($R267="Check inputs",ROW(),""),IF($R267="Check inputs",IF(Review!$B$5="All accounts",-2000000000000000+ROW(),""),IF(AND(Review!$B$5="Needs review",$R267="Meets your target"),"",IF($R267="No fee entered",-1000000000000000+ROW(),$N267/$B267+ROW()/1000000000)))))</f>
        <v/>
      </c>
    </row>
    <row r="268" customFormat="false" ht="15" hidden="false" customHeight="false" outlineLevel="0" collapsed="false">
      <c r="A268" s="14"/>
      <c r="B268" s="15"/>
      <c r="C268" s="16"/>
      <c r="D268" s="14"/>
      <c r="E268" s="14"/>
      <c r="F268" s="14"/>
      <c r="G268" s="15"/>
      <c r="H268" s="15"/>
      <c r="I268" s="17" t="str">
        <f aca="false">IF(OR(AND($A268="",$B268="",$C268="",$D268="",$E268="",$F268="",$G268="",$H268=""),NOT($S268="")),"",ROUND($C268*($D268+$E268)/60,4))</f>
        <v/>
      </c>
      <c r="J268" s="18" t="str">
        <f aca="false">IF(OR(AND($A268="",$B268="",$C268="",$D268="",$E268="",$F268="",$G268="",$H268=""),NOT($S268="")),"",ROUND(ROUND($C268*($D268+$E268)/60*$B$5,9),2))</f>
        <v/>
      </c>
      <c r="K268" s="18" t="str">
        <f aca="false">IF(OR(AND($A268="",$B268="",$C268="",$D268="",$E268="",$F268="",$G268="",$H268=""),NOT($S268="")),"",ROUND(ROUND($C268*$F268*$B$6,9),2))</f>
        <v/>
      </c>
      <c r="L268" s="18" t="str">
        <f aca="false">IF(OR(AND($A268="",$B268="",$C268="",$D268="",$E268="",$F268="",$G268="",$H268=""),NOT($S268="")),"",ROUND(ROUND($C268*$G268,9),2))</f>
        <v/>
      </c>
      <c r="M268" s="19" t="str">
        <f aca="false">IF(OR(AND($A268="",$B268="",$C268="",$D268="",$E268="",$F268="",$G268="",$H268=""),NOT($S268="")),"",ROUND($J268+$K268+$L268+$H268,2))</f>
        <v/>
      </c>
      <c r="N268" s="19" t="str">
        <f aca="false">IF(OR(AND($A268="",$B268="",$C268="",$D268="",$E268="",$F268="",$G268="",$H268=""),NOT($S268="")),"",ROUND($B268-$M268,2))</f>
        <v/>
      </c>
      <c r="O268" s="20" t="str">
        <f aca="false">IF(OR(AND($A268="",$B268="",$C268="",$D268="",$E268="",$F268="",$G268="",$H268=""),NOT($S268="")),"",IF($B268=0,"n/a",INT(ROUND($N268/$B268*10000,6))/10000))</f>
        <v/>
      </c>
      <c r="P268" s="18" t="str">
        <f aca="false">IF(OR(AND($A268="",$B268="",$C268="",$D268="",$E268="",$F268="",$G268="",$H268=""),NOT($S268="")),"",ROUNDUP(ROUND($M268*10000/(10000-TargetH),9),2))</f>
        <v/>
      </c>
      <c r="Q268" s="18" t="str">
        <f aca="false">IF(OR(AND($A268="",$B268="",$C268="",$D268="",$E268="",$F268="",$G268="",$H268=""),NOT($S268="")),"",MAX(0,ROUND($P268-$B268,2)))</f>
        <v/>
      </c>
      <c r="R268" s="21" t="str">
        <f aca="false">IF(AND($A268="",$B268="",$C268="",$D268="",$E268="",$F268="",$G268="",$H268=""),"",IF(NOT($S268=""),"Check inputs",IF($B268=0,"No fee entered",IF($N268&lt;0,"Losing money on entered costs",IF(ROUND($N268*100,0)*10000&lt;TargetH*ROUND($B268*100,0),"Below your target","Meets your target")))))</f>
        <v/>
      </c>
      <c r="S268" s="22" t="str">
        <f aca="false">IF(AND($A268="",$B268="",$C268="",$D268="",$E268="",$F268="",$G268="",$H268=""),"",TRIM(IF($A268="","Customer/site label is missing. ","")&amp;IF($B268="","Monthly fee is missing. ",IF(NOT(ISNUMBER($B268)),"Monthly fee must be a number. ",IF($B268&lt;0,"Monthly fee can't be negative. ",IF(ROUND($B268,2)&lt;&gt;$B268,"Monthly fee: use up to 2 decimal places. ",IF($B268&gt;99999.99,"Monthly fee: use 99,999.99 or less. ","")))))&amp;IF($C268="","Visits per month is missing. ",IF(NOT(ISNUMBER($C268)),"Visits per month must be a number. ",IF($C268&lt;0,"Visits per month can't be negative. ",IF(ROUND($C268,3)&lt;&gt;$C268,"Visits per month: use up to 3 decimal places. ",IF($C268=0,"Visits per month must be more than 0. ",IF($C268&gt;31,"Visits per month: use 31 or less. ",""))))))&amp;IF($D268="","Service minutes per visit is missing. ",IF(NOT(ISNUMBER($D268)),"Service minutes per visit must be a number. ",IF($D268&lt;0,"Service minutes per visit can't be negative. ",IF(ROUND($D268,2)&lt;&gt;$D268,"Service minutes per visit: use up to 2 decimal places. ",IF($D268=0,"Service minutes per visit must be more than 0. ",IF($D268&gt;600,"Service minutes per visit: use 600 or less. ",""))))))&amp;IF($E268="","Drive minutes per visit is missing. ",IF(NOT(ISNUMBER($E268)),"Drive minutes per visit must be a number. ",IF($E268&lt;0,"Drive minutes per visit can't be negative. ",IF(ROUND($E268,2)&lt;&gt;$E268,"Drive minutes per visit: use up to 2 decimal places. ",IF($E268&gt;600,"Drive minutes per visit: use 600 or less. ","")))))&amp;IF($F268="","Drive miles per visit is missing. ",IF(NOT(ISNUMBER($F268)),"Drive miles per visit must be a number. ",IF($F268&lt;0,"Drive miles per visit can't be negative. ",IF(ROUND($F268,2)&lt;&gt;$F268,"Drive miles per visit: use up to 2 decimal places. ",IF($F268&gt;1000,"Drive miles per visit: use 1,000 or less. ","")))))&amp;IF($G268="","Chemicals per visit is missing. ",IF(NOT(ISNUMBER($G268)),"Chemicals per visit must be a number. ",IF($G268&lt;0,"Chemicals per visit can't be negative. ",IF(ROUND($G268,2)&lt;&gt;$G268,"Chemicals per visit: use up to 2 decimal places. ",IF($G268&gt;9999.99,"Chemicals per visit: use 9,999.99 or less. ","")))))&amp;IF($H268="","Other monthly costs is missing. ",IF(NOT(ISNUMBER($H268)),"Other monthly costs must be a number. ",IF($H268&lt;0,"Other monthly costs can't be negative. ",IF(ROUND($H268,2)&lt;&gt;$H268,"Other monthly costs: use up to 2 decimal places. ",IF($H268&gt;99999.99,"Other monthly costs: use 99,999.99 or less. ","")))))&amp;IF(SettingsOK,"","Settings incomplete.")))</f>
        <v/>
      </c>
      <c r="T268" s="23" t="str">
        <f aca="false">IF(AND($A268="",$B268="",$C268="",$D268="",$E268="",$F268="",$G268="",$H268=""),"",IF(Review!$B$5="Check inputs",IF($R268="Check inputs",ROW(),""),IF($R268="Check inputs",IF(Review!$B$5="All accounts",-2000000000000000+ROW(),""),IF(AND(Review!$B$5="Needs review",$R268="Meets your target"),"",IF($R268="No fee entered",-1000000000000000+ROW(),$N268/$B268+ROW()/1000000000)))))</f>
        <v/>
      </c>
    </row>
    <row r="269" customFormat="false" ht="15" hidden="false" customHeight="false" outlineLevel="0" collapsed="false">
      <c r="A269" s="14"/>
      <c r="B269" s="15"/>
      <c r="C269" s="16"/>
      <c r="D269" s="14"/>
      <c r="E269" s="14"/>
      <c r="F269" s="14"/>
      <c r="G269" s="15"/>
      <c r="H269" s="15"/>
      <c r="I269" s="17" t="str">
        <f aca="false">IF(OR(AND($A269="",$B269="",$C269="",$D269="",$E269="",$F269="",$G269="",$H269=""),NOT($S269="")),"",ROUND($C269*($D269+$E269)/60,4))</f>
        <v/>
      </c>
      <c r="J269" s="18" t="str">
        <f aca="false">IF(OR(AND($A269="",$B269="",$C269="",$D269="",$E269="",$F269="",$G269="",$H269=""),NOT($S269="")),"",ROUND(ROUND($C269*($D269+$E269)/60*$B$5,9),2))</f>
        <v/>
      </c>
      <c r="K269" s="18" t="str">
        <f aca="false">IF(OR(AND($A269="",$B269="",$C269="",$D269="",$E269="",$F269="",$G269="",$H269=""),NOT($S269="")),"",ROUND(ROUND($C269*$F269*$B$6,9),2))</f>
        <v/>
      </c>
      <c r="L269" s="18" t="str">
        <f aca="false">IF(OR(AND($A269="",$B269="",$C269="",$D269="",$E269="",$F269="",$G269="",$H269=""),NOT($S269="")),"",ROUND(ROUND($C269*$G269,9),2))</f>
        <v/>
      </c>
      <c r="M269" s="19" t="str">
        <f aca="false">IF(OR(AND($A269="",$B269="",$C269="",$D269="",$E269="",$F269="",$G269="",$H269=""),NOT($S269="")),"",ROUND($J269+$K269+$L269+$H269,2))</f>
        <v/>
      </c>
      <c r="N269" s="19" t="str">
        <f aca="false">IF(OR(AND($A269="",$B269="",$C269="",$D269="",$E269="",$F269="",$G269="",$H269=""),NOT($S269="")),"",ROUND($B269-$M269,2))</f>
        <v/>
      </c>
      <c r="O269" s="20" t="str">
        <f aca="false">IF(OR(AND($A269="",$B269="",$C269="",$D269="",$E269="",$F269="",$G269="",$H269=""),NOT($S269="")),"",IF($B269=0,"n/a",INT(ROUND($N269/$B269*10000,6))/10000))</f>
        <v/>
      </c>
      <c r="P269" s="18" t="str">
        <f aca="false">IF(OR(AND($A269="",$B269="",$C269="",$D269="",$E269="",$F269="",$G269="",$H269=""),NOT($S269="")),"",ROUNDUP(ROUND($M269*10000/(10000-TargetH),9),2))</f>
        <v/>
      </c>
      <c r="Q269" s="18" t="str">
        <f aca="false">IF(OR(AND($A269="",$B269="",$C269="",$D269="",$E269="",$F269="",$G269="",$H269=""),NOT($S269="")),"",MAX(0,ROUND($P269-$B269,2)))</f>
        <v/>
      </c>
      <c r="R269" s="21" t="str">
        <f aca="false">IF(AND($A269="",$B269="",$C269="",$D269="",$E269="",$F269="",$G269="",$H269=""),"",IF(NOT($S269=""),"Check inputs",IF($B269=0,"No fee entered",IF($N269&lt;0,"Losing money on entered costs",IF(ROUND($N269*100,0)*10000&lt;TargetH*ROUND($B269*100,0),"Below your target","Meets your target")))))</f>
        <v/>
      </c>
      <c r="S269" s="22" t="str">
        <f aca="false">IF(AND($A269="",$B269="",$C269="",$D269="",$E269="",$F269="",$G269="",$H269=""),"",TRIM(IF($A269="","Customer/site label is missing. ","")&amp;IF($B269="","Monthly fee is missing. ",IF(NOT(ISNUMBER($B269)),"Monthly fee must be a number. ",IF($B269&lt;0,"Monthly fee can't be negative. ",IF(ROUND($B269,2)&lt;&gt;$B269,"Monthly fee: use up to 2 decimal places. ",IF($B269&gt;99999.99,"Monthly fee: use 99,999.99 or less. ","")))))&amp;IF($C269="","Visits per month is missing. ",IF(NOT(ISNUMBER($C269)),"Visits per month must be a number. ",IF($C269&lt;0,"Visits per month can't be negative. ",IF(ROUND($C269,3)&lt;&gt;$C269,"Visits per month: use up to 3 decimal places. ",IF($C269=0,"Visits per month must be more than 0. ",IF($C269&gt;31,"Visits per month: use 31 or less. ",""))))))&amp;IF($D269="","Service minutes per visit is missing. ",IF(NOT(ISNUMBER($D269)),"Service minutes per visit must be a number. ",IF($D269&lt;0,"Service minutes per visit can't be negative. ",IF(ROUND($D269,2)&lt;&gt;$D269,"Service minutes per visit: use up to 2 decimal places. ",IF($D269=0,"Service minutes per visit must be more than 0. ",IF($D269&gt;600,"Service minutes per visit: use 600 or less. ",""))))))&amp;IF($E269="","Drive minutes per visit is missing. ",IF(NOT(ISNUMBER($E269)),"Drive minutes per visit must be a number. ",IF($E269&lt;0,"Drive minutes per visit can't be negative. ",IF(ROUND($E269,2)&lt;&gt;$E269,"Drive minutes per visit: use up to 2 decimal places. ",IF($E269&gt;600,"Drive minutes per visit: use 600 or less. ","")))))&amp;IF($F269="","Drive miles per visit is missing. ",IF(NOT(ISNUMBER($F269)),"Drive miles per visit must be a number. ",IF($F269&lt;0,"Drive miles per visit can't be negative. ",IF(ROUND($F269,2)&lt;&gt;$F269,"Drive miles per visit: use up to 2 decimal places. ",IF($F269&gt;1000,"Drive miles per visit: use 1,000 or less. ","")))))&amp;IF($G269="","Chemicals per visit is missing. ",IF(NOT(ISNUMBER($G269)),"Chemicals per visit must be a number. ",IF($G269&lt;0,"Chemicals per visit can't be negative. ",IF(ROUND($G269,2)&lt;&gt;$G269,"Chemicals per visit: use up to 2 decimal places. ",IF($G269&gt;9999.99,"Chemicals per visit: use 9,999.99 or less. ","")))))&amp;IF($H269="","Other monthly costs is missing. ",IF(NOT(ISNUMBER($H269)),"Other monthly costs must be a number. ",IF($H269&lt;0,"Other monthly costs can't be negative. ",IF(ROUND($H269,2)&lt;&gt;$H269,"Other monthly costs: use up to 2 decimal places. ",IF($H269&gt;99999.99,"Other monthly costs: use 99,999.99 or less. ","")))))&amp;IF(SettingsOK,"","Settings incomplete.")))</f>
        <v/>
      </c>
      <c r="T269" s="23" t="str">
        <f aca="false">IF(AND($A269="",$B269="",$C269="",$D269="",$E269="",$F269="",$G269="",$H269=""),"",IF(Review!$B$5="Check inputs",IF($R269="Check inputs",ROW(),""),IF($R269="Check inputs",IF(Review!$B$5="All accounts",-2000000000000000+ROW(),""),IF(AND(Review!$B$5="Needs review",$R269="Meets your target"),"",IF($R269="No fee entered",-1000000000000000+ROW(),$N269/$B269+ROW()/1000000000)))))</f>
        <v/>
      </c>
    </row>
    <row r="270" customFormat="false" ht="15" hidden="false" customHeight="false" outlineLevel="0" collapsed="false">
      <c r="A270" s="14"/>
      <c r="B270" s="15"/>
      <c r="C270" s="16"/>
      <c r="D270" s="14"/>
      <c r="E270" s="14"/>
      <c r="F270" s="14"/>
      <c r="G270" s="15"/>
      <c r="H270" s="15"/>
      <c r="I270" s="17" t="str">
        <f aca="false">IF(OR(AND($A270="",$B270="",$C270="",$D270="",$E270="",$F270="",$G270="",$H270=""),NOT($S270="")),"",ROUND($C270*($D270+$E270)/60,4))</f>
        <v/>
      </c>
      <c r="J270" s="18" t="str">
        <f aca="false">IF(OR(AND($A270="",$B270="",$C270="",$D270="",$E270="",$F270="",$G270="",$H270=""),NOT($S270="")),"",ROUND(ROUND($C270*($D270+$E270)/60*$B$5,9),2))</f>
        <v/>
      </c>
      <c r="K270" s="18" t="str">
        <f aca="false">IF(OR(AND($A270="",$B270="",$C270="",$D270="",$E270="",$F270="",$G270="",$H270=""),NOT($S270="")),"",ROUND(ROUND($C270*$F270*$B$6,9),2))</f>
        <v/>
      </c>
      <c r="L270" s="18" t="str">
        <f aca="false">IF(OR(AND($A270="",$B270="",$C270="",$D270="",$E270="",$F270="",$G270="",$H270=""),NOT($S270="")),"",ROUND(ROUND($C270*$G270,9),2))</f>
        <v/>
      </c>
      <c r="M270" s="19" t="str">
        <f aca="false">IF(OR(AND($A270="",$B270="",$C270="",$D270="",$E270="",$F270="",$G270="",$H270=""),NOT($S270="")),"",ROUND($J270+$K270+$L270+$H270,2))</f>
        <v/>
      </c>
      <c r="N270" s="19" t="str">
        <f aca="false">IF(OR(AND($A270="",$B270="",$C270="",$D270="",$E270="",$F270="",$G270="",$H270=""),NOT($S270="")),"",ROUND($B270-$M270,2))</f>
        <v/>
      </c>
      <c r="O270" s="20" t="str">
        <f aca="false">IF(OR(AND($A270="",$B270="",$C270="",$D270="",$E270="",$F270="",$G270="",$H270=""),NOT($S270="")),"",IF($B270=0,"n/a",INT(ROUND($N270/$B270*10000,6))/10000))</f>
        <v/>
      </c>
      <c r="P270" s="18" t="str">
        <f aca="false">IF(OR(AND($A270="",$B270="",$C270="",$D270="",$E270="",$F270="",$G270="",$H270=""),NOT($S270="")),"",ROUNDUP(ROUND($M270*10000/(10000-TargetH),9),2))</f>
        <v/>
      </c>
      <c r="Q270" s="18" t="str">
        <f aca="false">IF(OR(AND($A270="",$B270="",$C270="",$D270="",$E270="",$F270="",$G270="",$H270=""),NOT($S270="")),"",MAX(0,ROUND($P270-$B270,2)))</f>
        <v/>
      </c>
      <c r="R270" s="21" t="str">
        <f aca="false">IF(AND($A270="",$B270="",$C270="",$D270="",$E270="",$F270="",$G270="",$H270=""),"",IF(NOT($S270=""),"Check inputs",IF($B270=0,"No fee entered",IF($N270&lt;0,"Losing money on entered costs",IF(ROUND($N270*100,0)*10000&lt;TargetH*ROUND($B270*100,0),"Below your target","Meets your target")))))</f>
        <v/>
      </c>
      <c r="S270" s="22" t="str">
        <f aca="false">IF(AND($A270="",$B270="",$C270="",$D270="",$E270="",$F270="",$G270="",$H270=""),"",TRIM(IF($A270="","Customer/site label is missing. ","")&amp;IF($B270="","Monthly fee is missing. ",IF(NOT(ISNUMBER($B270)),"Monthly fee must be a number. ",IF($B270&lt;0,"Monthly fee can't be negative. ",IF(ROUND($B270,2)&lt;&gt;$B270,"Monthly fee: use up to 2 decimal places. ",IF($B270&gt;99999.99,"Monthly fee: use 99,999.99 or less. ","")))))&amp;IF($C270="","Visits per month is missing. ",IF(NOT(ISNUMBER($C270)),"Visits per month must be a number. ",IF($C270&lt;0,"Visits per month can't be negative. ",IF(ROUND($C270,3)&lt;&gt;$C270,"Visits per month: use up to 3 decimal places. ",IF($C270=0,"Visits per month must be more than 0. ",IF($C270&gt;31,"Visits per month: use 31 or less. ",""))))))&amp;IF($D270="","Service minutes per visit is missing. ",IF(NOT(ISNUMBER($D270)),"Service minutes per visit must be a number. ",IF($D270&lt;0,"Service minutes per visit can't be negative. ",IF(ROUND($D270,2)&lt;&gt;$D270,"Service minutes per visit: use up to 2 decimal places. ",IF($D270=0,"Service minutes per visit must be more than 0. ",IF($D270&gt;600,"Service minutes per visit: use 600 or less. ",""))))))&amp;IF($E270="","Drive minutes per visit is missing. ",IF(NOT(ISNUMBER($E270)),"Drive minutes per visit must be a number. ",IF($E270&lt;0,"Drive minutes per visit can't be negative. ",IF(ROUND($E270,2)&lt;&gt;$E270,"Drive minutes per visit: use up to 2 decimal places. ",IF($E270&gt;600,"Drive minutes per visit: use 600 or less. ","")))))&amp;IF($F270="","Drive miles per visit is missing. ",IF(NOT(ISNUMBER($F270)),"Drive miles per visit must be a number. ",IF($F270&lt;0,"Drive miles per visit can't be negative. ",IF(ROUND($F270,2)&lt;&gt;$F270,"Drive miles per visit: use up to 2 decimal places. ",IF($F270&gt;1000,"Drive miles per visit: use 1,000 or less. ","")))))&amp;IF($G270="","Chemicals per visit is missing. ",IF(NOT(ISNUMBER($G270)),"Chemicals per visit must be a number. ",IF($G270&lt;0,"Chemicals per visit can't be negative. ",IF(ROUND($G270,2)&lt;&gt;$G270,"Chemicals per visit: use up to 2 decimal places. ",IF($G270&gt;9999.99,"Chemicals per visit: use 9,999.99 or less. ","")))))&amp;IF($H270="","Other monthly costs is missing. ",IF(NOT(ISNUMBER($H270)),"Other monthly costs must be a number. ",IF($H270&lt;0,"Other monthly costs can't be negative. ",IF(ROUND($H270,2)&lt;&gt;$H270,"Other monthly costs: use up to 2 decimal places. ",IF($H270&gt;99999.99,"Other monthly costs: use 99,999.99 or less. ","")))))&amp;IF(SettingsOK,"","Settings incomplete.")))</f>
        <v/>
      </c>
      <c r="T270" s="23" t="str">
        <f aca="false">IF(AND($A270="",$B270="",$C270="",$D270="",$E270="",$F270="",$G270="",$H270=""),"",IF(Review!$B$5="Check inputs",IF($R270="Check inputs",ROW(),""),IF($R270="Check inputs",IF(Review!$B$5="All accounts",-2000000000000000+ROW(),""),IF(AND(Review!$B$5="Needs review",$R270="Meets your target"),"",IF($R270="No fee entered",-1000000000000000+ROW(),$N270/$B270+ROW()/1000000000)))))</f>
        <v/>
      </c>
    </row>
    <row r="271" customFormat="false" ht="15" hidden="false" customHeight="false" outlineLevel="0" collapsed="false">
      <c r="A271" s="14"/>
      <c r="B271" s="15"/>
      <c r="C271" s="16"/>
      <c r="D271" s="14"/>
      <c r="E271" s="14"/>
      <c r="F271" s="14"/>
      <c r="G271" s="15"/>
      <c r="H271" s="15"/>
      <c r="I271" s="17" t="str">
        <f aca="false">IF(OR(AND($A271="",$B271="",$C271="",$D271="",$E271="",$F271="",$G271="",$H271=""),NOT($S271="")),"",ROUND($C271*($D271+$E271)/60,4))</f>
        <v/>
      </c>
      <c r="J271" s="18" t="str">
        <f aca="false">IF(OR(AND($A271="",$B271="",$C271="",$D271="",$E271="",$F271="",$G271="",$H271=""),NOT($S271="")),"",ROUND(ROUND($C271*($D271+$E271)/60*$B$5,9),2))</f>
        <v/>
      </c>
      <c r="K271" s="18" t="str">
        <f aca="false">IF(OR(AND($A271="",$B271="",$C271="",$D271="",$E271="",$F271="",$G271="",$H271=""),NOT($S271="")),"",ROUND(ROUND($C271*$F271*$B$6,9),2))</f>
        <v/>
      </c>
      <c r="L271" s="18" t="str">
        <f aca="false">IF(OR(AND($A271="",$B271="",$C271="",$D271="",$E271="",$F271="",$G271="",$H271=""),NOT($S271="")),"",ROUND(ROUND($C271*$G271,9),2))</f>
        <v/>
      </c>
      <c r="M271" s="19" t="str">
        <f aca="false">IF(OR(AND($A271="",$B271="",$C271="",$D271="",$E271="",$F271="",$G271="",$H271=""),NOT($S271="")),"",ROUND($J271+$K271+$L271+$H271,2))</f>
        <v/>
      </c>
      <c r="N271" s="19" t="str">
        <f aca="false">IF(OR(AND($A271="",$B271="",$C271="",$D271="",$E271="",$F271="",$G271="",$H271=""),NOT($S271="")),"",ROUND($B271-$M271,2))</f>
        <v/>
      </c>
      <c r="O271" s="20" t="str">
        <f aca="false">IF(OR(AND($A271="",$B271="",$C271="",$D271="",$E271="",$F271="",$G271="",$H271=""),NOT($S271="")),"",IF($B271=0,"n/a",INT(ROUND($N271/$B271*10000,6))/10000))</f>
        <v/>
      </c>
      <c r="P271" s="18" t="str">
        <f aca="false">IF(OR(AND($A271="",$B271="",$C271="",$D271="",$E271="",$F271="",$G271="",$H271=""),NOT($S271="")),"",ROUNDUP(ROUND($M271*10000/(10000-TargetH),9),2))</f>
        <v/>
      </c>
      <c r="Q271" s="18" t="str">
        <f aca="false">IF(OR(AND($A271="",$B271="",$C271="",$D271="",$E271="",$F271="",$G271="",$H271=""),NOT($S271="")),"",MAX(0,ROUND($P271-$B271,2)))</f>
        <v/>
      </c>
      <c r="R271" s="21" t="str">
        <f aca="false">IF(AND($A271="",$B271="",$C271="",$D271="",$E271="",$F271="",$G271="",$H271=""),"",IF(NOT($S271=""),"Check inputs",IF($B271=0,"No fee entered",IF($N271&lt;0,"Losing money on entered costs",IF(ROUND($N271*100,0)*10000&lt;TargetH*ROUND($B271*100,0),"Below your target","Meets your target")))))</f>
        <v/>
      </c>
      <c r="S271" s="22" t="str">
        <f aca="false">IF(AND($A271="",$B271="",$C271="",$D271="",$E271="",$F271="",$G271="",$H271=""),"",TRIM(IF($A271="","Customer/site label is missing. ","")&amp;IF($B271="","Monthly fee is missing. ",IF(NOT(ISNUMBER($B271)),"Monthly fee must be a number. ",IF($B271&lt;0,"Monthly fee can't be negative. ",IF(ROUND($B271,2)&lt;&gt;$B271,"Monthly fee: use up to 2 decimal places. ",IF($B271&gt;99999.99,"Monthly fee: use 99,999.99 or less. ","")))))&amp;IF($C271="","Visits per month is missing. ",IF(NOT(ISNUMBER($C271)),"Visits per month must be a number. ",IF($C271&lt;0,"Visits per month can't be negative. ",IF(ROUND($C271,3)&lt;&gt;$C271,"Visits per month: use up to 3 decimal places. ",IF($C271=0,"Visits per month must be more than 0. ",IF($C271&gt;31,"Visits per month: use 31 or less. ",""))))))&amp;IF($D271="","Service minutes per visit is missing. ",IF(NOT(ISNUMBER($D271)),"Service minutes per visit must be a number. ",IF($D271&lt;0,"Service minutes per visit can't be negative. ",IF(ROUND($D271,2)&lt;&gt;$D271,"Service minutes per visit: use up to 2 decimal places. ",IF($D271=0,"Service minutes per visit must be more than 0. ",IF($D271&gt;600,"Service minutes per visit: use 600 or less. ",""))))))&amp;IF($E271="","Drive minutes per visit is missing. ",IF(NOT(ISNUMBER($E271)),"Drive minutes per visit must be a number. ",IF($E271&lt;0,"Drive minutes per visit can't be negative. ",IF(ROUND($E271,2)&lt;&gt;$E271,"Drive minutes per visit: use up to 2 decimal places. ",IF($E271&gt;600,"Drive minutes per visit: use 600 or less. ","")))))&amp;IF($F271="","Drive miles per visit is missing. ",IF(NOT(ISNUMBER($F271)),"Drive miles per visit must be a number. ",IF($F271&lt;0,"Drive miles per visit can't be negative. ",IF(ROUND($F271,2)&lt;&gt;$F271,"Drive miles per visit: use up to 2 decimal places. ",IF($F271&gt;1000,"Drive miles per visit: use 1,000 or less. ","")))))&amp;IF($G271="","Chemicals per visit is missing. ",IF(NOT(ISNUMBER($G271)),"Chemicals per visit must be a number. ",IF($G271&lt;0,"Chemicals per visit can't be negative. ",IF(ROUND($G271,2)&lt;&gt;$G271,"Chemicals per visit: use up to 2 decimal places. ",IF($G271&gt;9999.99,"Chemicals per visit: use 9,999.99 or less. ","")))))&amp;IF($H271="","Other monthly costs is missing. ",IF(NOT(ISNUMBER($H271)),"Other monthly costs must be a number. ",IF($H271&lt;0,"Other monthly costs can't be negative. ",IF(ROUND($H271,2)&lt;&gt;$H271,"Other monthly costs: use up to 2 decimal places. ",IF($H271&gt;99999.99,"Other monthly costs: use 99,999.99 or less. ","")))))&amp;IF(SettingsOK,"","Settings incomplete.")))</f>
        <v/>
      </c>
      <c r="T271" s="23" t="str">
        <f aca="false">IF(AND($A271="",$B271="",$C271="",$D271="",$E271="",$F271="",$G271="",$H271=""),"",IF(Review!$B$5="Check inputs",IF($R271="Check inputs",ROW(),""),IF($R271="Check inputs",IF(Review!$B$5="All accounts",-2000000000000000+ROW(),""),IF(AND(Review!$B$5="Needs review",$R271="Meets your target"),"",IF($R271="No fee entered",-1000000000000000+ROW(),$N271/$B271+ROW()/1000000000)))))</f>
        <v/>
      </c>
    </row>
    <row r="272" customFormat="false" ht="15" hidden="false" customHeight="false" outlineLevel="0" collapsed="false">
      <c r="A272" s="14"/>
      <c r="B272" s="15"/>
      <c r="C272" s="16"/>
      <c r="D272" s="14"/>
      <c r="E272" s="14"/>
      <c r="F272" s="14"/>
      <c r="G272" s="15"/>
      <c r="H272" s="15"/>
      <c r="I272" s="17" t="str">
        <f aca="false">IF(OR(AND($A272="",$B272="",$C272="",$D272="",$E272="",$F272="",$G272="",$H272=""),NOT($S272="")),"",ROUND($C272*($D272+$E272)/60,4))</f>
        <v/>
      </c>
      <c r="J272" s="18" t="str">
        <f aca="false">IF(OR(AND($A272="",$B272="",$C272="",$D272="",$E272="",$F272="",$G272="",$H272=""),NOT($S272="")),"",ROUND(ROUND($C272*($D272+$E272)/60*$B$5,9),2))</f>
        <v/>
      </c>
      <c r="K272" s="18" t="str">
        <f aca="false">IF(OR(AND($A272="",$B272="",$C272="",$D272="",$E272="",$F272="",$G272="",$H272=""),NOT($S272="")),"",ROUND(ROUND($C272*$F272*$B$6,9),2))</f>
        <v/>
      </c>
      <c r="L272" s="18" t="str">
        <f aca="false">IF(OR(AND($A272="",$B272="",$C272="",$D272="",$E272="",$F272="",$G272="",$H272=""),NOT($S272="")),"",ROUND(ROUND($C272*$G272,9),2))</f>
        <v/>
      </c>
      <c r="M272" s="19" t="str">
        <f aca="false">IF(OR(AND($A272="",$B272="",$C272="",$D272="",$E272="",$F272="",$G272="",$H272=""),NOT($S272="")),"",ROUND($J272+$K272+$L272+$H272,2))</f>
        <v/>
      </c>
      <c r="N272" s="19" t="str">
        <f aca="false">IF(OR(AND($A272="",$B272="",$C272="",$D272="",$E272="",$F272="",$G272="",$H272=""),NOT($S272="")),"",ROUND($B272-$M272,2))</f>
        <v/>
      </c>
      <c r="O272" s="20" t="str">
        <f aca="false">IF(OR(AND($A272="",$B272="",$C272="",$D272="",$E272="",$F272="",$G272="",$H272=""),NOT($S272="")),"",IF($B272=0,"n/a",INT(ROUND($N272/$B272*10000,6))/10000))</f>
        <v/>
      </c>
      <c r="P272" s="18" t="str">
        <f aca="false">IF(OR(AND($A272="",$B272="",$C272="",$D272="",$E272="",$F272="",$G272="",$H272=""),NOT($S272="")),"",ROUNDUP(ROUND($M272*10000/(10000-TargetH),9),2))</f>
        <v/>
      </c>
      <c r="Q272" s="18" t="str">
        <f aca="false">IF(OR(AND($A272="",$B272="",$C272="",$D272="",$E272="",$F272="",$G272="",$H272=""),NOT($S272="")),"",MAX(0,ROUND($P272-$B272,2)))</f>
        <v/>
      </c>
      <c r="R272" s="21" t="str">
        <f aca="false">IF(AND($A272="",$B272="",$C272="",$D272="",$E272="",$F272="",$G272="",$H272=""),"",IF(NOT($S272=""),"Check inputs",IF($B272=0,"No fee entered",IF($N272&lt;0,"Losing money on entered costs",IF(ROUND($N272*100,0)*10000&lt;TargetH*ROUND($B272*100,0),"Below your target","Meets your target")))))</f>
        <v/>
      </c>
      <c r="S272" s="22" t="str">
        <f aca="false">IF(AND($A272="",$B272="",$C272="",$D272="",$E272="",$F272="",$G272="",$H272=""),"",TRIM(IF($A272="","Customer/site label is missing. ","")&amp;IF($B272="","Monthly fee is missing. ",IF(NOT(ISNUMBER($B272)),"Monthly fee must be a number. ",IF($B272&lt;0,"Monthly fee can't be negative. ",IF(ROUND($B272,2)&lt;&gt;$B272,"Monthly fee: use up to 2 decimal places. ",IF($B272&gt;99999.99,"Monthly fee: use 99,999.99 or less. ","")))))&amp;IF($C272="","Visits per month is missing. ",IF(NOT(ISNUMBER($C272)),"Visits per month must be a number. ",IF($C272&lt;0,"Visits per month can't be negative. ",IF(ROUND($C272,3)&lt;&gt;$C272,"Visits per month: use up to 3 decimal places. ",IF($C272=0,"Visits per month must be more than 0. ",IF($C272&gt;31,"Visits per month: use 31 or less. ",""))))))&amp;IF($D272="","Service minutes per visit is missing. ",IF(NOT(ISNUMBER($D272)),"Service minutes per visit must be a number. ",IF($D272&lt;0,"Service minutes per visit can't be negative. ",IF(ROUND($D272,2)&lt;&gt;$D272,"Service minutes per visit: use up to 2 decimal places. ",IF($D272=0,"Service minutes per visit must be more than 0. ",IF($D272&gt;600,"Service minutes per visit: use 600 or less. ",""))))))&amp;IF($E272="","Drive minutes per visit is missing. ",IF(NOT(ISNUMBER($E272)),"Drive minutes per visit must be a number. ",IF($E272&lt;0,"Drive minutes per visit can't be negative. ",IF(ROUND($E272,2)&lt;&gt;$E272,"Drive minutes per visit: use up to 2 decimal places. ",IF($E272&gt;600,"Drive minutes per visit: use 600 or less. ","")))))&amp;IF($F272="","Drive miles per visit is missing. ",IF(NOT(ISNUMBER($F272)),"Drive miles per visit must be a number. ",IF($F272&lt;0,"Drive miles per visit can't be negative. ",IF(ROUND($F272,2)&lt;&gt;$F272,"Drive miles per visit: use up to 2 decimal places. ",IF($F272&gt;1000,"Drive miles per visit: use 1,000 or less. ","")))))&amp;IF($G272="","Chemicals per visit is missing. ",IF(NOT(ISNUMBER($G272)),"Chemicals per visit must be a number. ",IF($G272&lt;0,"Chemicals per visit can't be negative. ",IF(ROUND($G272,2)&lt;&gt;$G272,"Chemicals per visit: use up to 2 decimal places. ",IF($G272&gt;9999.99,"Chemicals per visit: use 9,999.99 or less. ","")))))&amp;IF($H272="","Other monthly costs is missing. ",IF(NOT(ISNUMBER($H272)),"Other monthly costs must be a number. ",IF($H272&lt;0,"Other monthly costs can't be negative. ",IF(ROUND($H272,2)&lt;&gt;$H272,"Other monthly costs: use up to 2 decimal places. ",IF($H272&gt;99999.99,"Other monthly costs: use 99,999.99 or less. ","")))))&amp;IF(SettingsOK,"","Settings incomplete.")))</f>
        <v/>
      </c>
      <c r="T272" s="23" t="str">
        <f aca="false">IF(AND($A272="",$B272="",$C272="",$D272="",$E272="",$F272="",$G272="",$H272=""),"",IF(Review!$B$5="Check inputs",IF($R272="Check inputs",ROW(),""),IF($R272="Check inputs",IF(Review!$B$5="All accounts",-2000000000000000+ROW(),""),IF(AND(Review!$B$5="Needs review",$R272="Meets your target"),"",IF($R272="No fee entered",-1000000000000000+ROW(),$N272/$B272+ROW()/1000000000)))))</f>
        <v/>
      </c>
    </row>
    <row r="273" customFormat="false" ht="15" hidden="false" customHeight="false" outlineLevel="0" collapsed="false">
      <c r="A273" s="14"/>
      <c r="B273" s="15"/>
      <c r="C273" s="16"/>
      <c r="D273" s="14"/>
      <c r="E273" s="14"/>
      <c r="F273" s="14"/>
      <c r="G273" s="15"/>
      <c r="H273" s="15"/>
      <c r="I273" s="17" t="str">
        <f aca="false">IF(OR(AND($A273="",$B273="",$C273="",$D273="",$E273="",$F273="",$G273="",$H273=""),NOT($S273="")),"",ROUND($C273*($D273+$E273)/60,4))</f>
        <v/>
      </c>
      <c r="J273" s="18" t="str">
        <f aca="false">IF(OR(AND($A273="",$B273="",$C273="",$D273="",$E273="",$F273="",$G273="",$H273=""),NOT($S273="")),"",ROUND(ROUND($C273*($D273+$E273)/60*$B$5,9),2))</f>
        <v/>
      </c>
      <c r="K273" s="18" t="str">
        <f aca="false">IF(OR(AND($A273="",$B273="",$C273="",$D273="",$E273="",$F273="",$G273="",$H273=""),NOT($S273="")),"",ROUND(ROUND($C273*$F273*$B$6,9),2))</f>
        <v/>
      </c>
      <c r="L273" s="18" t="str">
        <f aca="false">IF(OR(AND($A273="",$B273="",$C273="",$D273="",$E273="",$F273="",$G273="",$H273=""),NOT($S273="")),"",ROUND(ROUND($C273*$G273,9),2))</f>
        <v/>
      </c>
      <c r="M273" s="19" t="str">
        <f aca="false">IF(OR(AND($A273="",$B273="",$C273="",$D273="",$E273="",$F273="",$G273="",$H273=""),NOT($S273="")),"",ROUND($J273+$K273+$L273+$H273,2))</f>
        <v/>
      </c>
      <c r="N273" s="19" t="str">
        <f aca="false">IF(OR(AND($A273="",$B273="",$C273="",$D273="",$E273="",$F273="",$G273="",$H273=""),NOT($S273="")),"",ROUND($B273-$M273,2))</f>
        <v/>
      </c>
      <c r="O273" s="20" t="str">
        <f aca="false">IF(OR(AND($A273="",$B273="",$C273="",$D273="",$E273="",$F273="",$G273="",$H273=""),NOT($S273="")),"",IF($B273=0,"n/a",INT(ROUND($N273/$B273*10000,6))/10000))</f>
        <v/>
      </c>
      <c r="P273" s="18" t="str">
        <f aca="false">IF(OR(AND($A273="",$B273="",$C273="",$D273="",$E273="",$F273="",$G273="",$H273=""),NOT($S273="")),"",ROUNDUP(ROUND($M273*10000/(10000-TargetH),9),2))</f>
        <v/>
      </c>
      <c r="Q273" s="18" t="str">
        <f aca="false">IF(OR(AND($A273="",$B273="",$C273="",$D273="",$E273="",$F273="",$G273="",$H273=""),NOT($S273="")),"",MAX(0,ROUND($P273-$B273,2)))</f>
        <v/>
      </c>
      <c r="R273" s="21" t="str">
        <f aca="false">IF(AND($A273="",$B273="",$C273="",$D273="",$E273="",$F273="",$G273="",$H273=""),"",IF(NOT($S273=""),"Check inputs",IF($B273=0,"No fee entered",IF($N273&lt;0,"Losing money on entered costs",IF(ROUND($N273*100,0)*10000&lt;TargetH*ROUND($B273*100,0),"Below your target","Meets your target")))))</f>
        <v/>
      </c>
      <c r="S273" s="22" t="str">
        <f aca="false">IF(AND($A273="",$B273="",$C273="",$D273="",$E273="",$F273="",$G273="",$H273=""),"",TRIM(IF($A273="","Customer/site label is missing. ","")&amp;IF($B273="","Monthly fee is missing. ",IF(NOT(ISNUMBER($B273)),"Monthly fee must be a number. ",IF($B273&lt;0,"Monthly fee can't be negative. ",IF(ROUND($B273,2)&lt;&gt;$B273,"Monthly fee: use up to 2 decimal places. ",IF($B273&gt;99999.99,"Monthly fee: use 99,999.99 or less. ","")))))&amp;IF($C273="","Visits per month is missing. ",IF(NOT(ISNUMBER($C273)),"Visits per month must be a number. ",IF($C273&lt;0,"Visits per month can't be negative. ",IF(ROUND($C273,3)&lt;&gt;$C273,"Visits per month: use up to 3 decimal places. ",IF($C273=0,"Visits per month must be more than 0. ",IF($C273&gt;31,"Visits per month: use 31 or less. ",""))))))&amp;IF($D273="","Service minutes per visit is missing. ",IF(NOT(ISNUMBER($D273)),"Service minutes per visit must be a number. ",IF($D273&lt;0,"Service minutes per visit can't be negative. ",IF(ROUND($D273,2)&lt;&gt;$D273,"Service minutes per visit: use up to 2 decimal places. ",IF($D273=0,"Service minutes per visit must be more than 0. ",IF($D273&gt;600,"Service minutes per visit: use 600 or less. ",""))))))&amp;IF($E273="","Drive minutes per visit is missing. ",IF(NOT(ISNUMBER($E273)),"Drive minutes per visit must be a number. ",IF($E273&lt;0,"Drive minutes per visit can't be negative. ",IF(ROUND($E273,2)&lt;&gt;$E273,"Drive minutes per visit: use up to 2 decimal places. ",IF($E273&gt;600,"Drive minutes per visit: use 600 or less. ","")))))&amp;IF($F273="","Drive miles per visit is missing. ",IF(NOT(ISNUMBER($F273)),"Drive miles per visit must be a number. ",IF($F273&lt;0,"Drive miles per visit can't be negative. ",IF(ROUND($F273,2)&lt;&gt;$F273,"Drive miles per visit: use up to 2 decimal places. ",IF($F273&gt;1000,"Drive miles per visit: use 1,000 or less. ","")))))&amp;IF($G273="","Chemicals per visit is missing. ",IF(NOT(ISNUMBER($G273)),"Chemicals per visit must be a number. ",IF($G273&lt;0,"Chemicals per visit can't be negative. ",IF(ROUND($G273,2)&lt;&gt;$G273,"Chemicals per visit: use up to 2 decimal places. ",IF($G273&gt;9999.99,"Chemicals per visit: use 9,999.99 or less. ","")))))&amp;IF($H273="","Other monthly costs is missing. ",IF(NOT(ISNUMBER($H273)),"Other monthly costs must be a number. ",IF($H273&lt;0,"Other monthly costs can't be negative. ",IF(ROUND($H273,2)&lt;&gt;$H273,"Other monthly costs: use up to 2 decimal places. ",IF($H273&gt;99999.99,"Other monthly costs: use 99,999.99 or less. ","")))))&amp;IF(SettingsOK,"","Settings incomplete.")))</f>
        <v/>
      </c>
      <c r="T273" s="23" t="str">
        <f aca="false">IF(AND($A273="",$B273="",$C273="",$D273="",$E273="",$F273="",$G273="",$H273=""),"",IF(Review!$B$5="Check inputs",IF($R273="Check inputs",ROW(),""),IF($R273="Check inputs",IF(Review!$B$5="All accounts",-2000000000000000+ROW(),""),IF(AND(Review!$B$5="Needs review",$R273="Meets your target"),"",IF($R273="No fee entered",-1000000000000000+ROW(),$N273/$B273+ROW()/1000000000)))))</f>
        <v/>
      </c>
    </row>
    <row r="274" customFormat="false" ht="15" hidden="false" customHeight="false" outlineLevel="0" collapsed="false">
      <c r="A274" s="14"/>
      <c r="B274" s="15"/>
      <c r="C274" s="16"/>
      <c r="D274" s="14"/>
      <c r="E274" s="14"/>
      <c r="F274" s="14"/>
      <c r="G274" s="15"/>
      <c r="H274" s="15"/>
      <c r="I274" s="17" t="str">
        <f aca="false">IF(OR(AND($A274="",$B274="",$C274="",$D274="",$E274="",$F274="",$G274="",$H274=""),NOT($S274="")),"",ROUND($C274*($D274+$E274)/60,4))</f>
        <v/>
      </c>
      <c r="J274" s="18" t="str">
        <f aca="false">IF(OR(AND($A274="",$B274="",$C274="",$D274="",$E274="",$F274="",$G274="",$H274=""),NOT($S274="")),"",ROUND(ROUND($C274*($D274+$E274)/60*$B$5,9),2))</f>
        <v/>
      </c>
      <c r="K274" s="18" t="str">
        <f aca="false">IF(OR(AND($A274="",$B274="",$C274="",$D274="",$E274="",$F274="",$G274="",$H274=""),NOT($S274="")),"",ROUND(ROUND($C274*$F274*$B$6,9),2))</f>
        <v/>
      </c>
      <c r="L274" s="18" t="str">
        <f aca="false">IF(OR(AND($A274="",$B274="",$C274="",$D274="",$E274="",$F274="",$G274="",$H274=""),NOT($S274="")),"",ROUND(ROUND($C274*$G274,9),2))</f>
        <v/>
      </c>
      <c r="M274" s="19" t="str">
        <f aca="false">IF(OR(AND($A274="",$B274="",$C274="",$D274="",$E274="",$F274="",$G274="",$H274=""),NOT($S274="")),"",ROUND($J274+$K274+$L274+$H274,2))</f>
        <v/>
      </c>
      <c r="N274" s="19" t="str">
        <f aca="false">IF(OR(AND($A274="",$B274="",$C274="",$D274="",$E274="",$F274="",$G274="",$H274=""),NOT($S274="")),"",ROUND($B274-$M274,2))</f>
        <v/>
      </c>
      <c r="O274" s="20" t="str">
        <f aca="false">IF(OR(AND($A274="",$B274="",$C274="",$D274="",$E274="",$F274="",$G274="",$H274=""),NOT($S274="")),"",IF($B274=0,"n/a",INT(ROUND($N274/$B274*10000,6))/10000))</f>
        <v/>
      </c>
      <c r="P274" s="18" t="str">
        <f aca="false">IF(OR(AND($A274="",$B274="",$C274="",$D274="",$E274="",$F274="",$G274="",$H274=""),NOT($S274="")),"",ROUNDUP(ROUND($M274*10000/(10000-TargetH),9),2))</f>
        <v/>
      </c>
      <c r="Q274" s="18" t="str">
        <f aca="false">IF(OR(AND($A274="",$B274="",$C274="",$D274="",$E274="",$F274="",$G274="",$H274=""),NOT($S274="")),"",MAX(0,ROUND($P274-$B274,2)))</f>
        <v/>
      </c>
      <c r="R274" s="21" t="str">
        <f aca="false">IF(AND($A274="",$B274="",$C274="",$D274="",$E274="",$F274="",$G274="",$H274=""),"",IF(NOT($S274=""),"Check inputs",IF($B274=0,"No fee entered",IF($N274&lt;0,"Losing money on entered costs",IF(ROUND($N274*100,0)*10000&lt;TargetH*ROUND($B274*100,0),"Below your target","Meets your target")))))</f>
        <v/>
      </c>
      <c r="S274" s="22" t="str">
        <f aca="false">IF(AND($A274="",$B274="",$C274="",$D274="",$E274="",$F274="",$G274="",$H274=""),"",TRIM(IF($A274="","Customer/site label is missing. ","")&amp;IF($B274="","Monthly fee is missing. ",IF(NOT(ISNUMBER($B274)),"Monthly fee must be a number. ",IF($B274&lt;0,"Monthly fee can't be negative. ",IF(ROUND($B274,2)&lt;&gt;$B274,"Monthly fee: use up to 2 decimal places. ",IF($B274&gt;99999.99,"Monthly fee: use 99,999.99 or less. ","")))))&amp;IF($C274="","Visits per month is missing. ",IF(NOT(ISNUMBER($C274)),"Visits per month must be a number. ",IF($C274&lt;0,"Visits per month can't be negative. ",IF(ROUND($C274,3)&lt;&gt;$C274,"Visits per month: use up to 3 decimal places. ",IF($C274=0,"Visits per month must be more than 0. ",IF($C274&gt;31,"Visits per month: use 31 or less. ",""))))))&amp;IF($D274="","Service minutes per visit is missing. ",IF(NOT(ISNUMBER($D274)),"Service minutes per visit must be a number. ",IF($D274&lt;0,"Service minutes per visit can't be negative. ",IF(ROUND($D274,2)&lt;&gt;$D274,"Service minutes per visit: use up to 2 decimal places. ",IF($D274=0,"Service minutes per visit must be more than 0. ",IF($D274&gt;600,"Service minutes per visit: use 600 or less. ",""))))))&amp;IF($E274="","Drive minutes per visit is missing. ",IF(NOT(ISNUMBER($E274)),"Drive minutes per visit must be a number. ",IF($E274&lt;0,"Drive minutes per visit can't be negative. ",IF(ROUND($E274,2)&lt;&gt;$E274,"Drive minutes per visit: use up to 2 decimal places. ",IF($E274&gt;600,"Drive minutes per visit: use 600 or less. ","")))))&amp;IF($F274="","Drive miles per visit is missing. ",IF(NOT(ISNUMBER($F274)),"Drive miles per visit must be a number. ",IF($F274&lt;0,"Drive miles per visit can't be negative. ",IF(ROUND($F274,2)&lt;&gt;$F274,"Drive miles per visit: use up to 2 decimal places. ",IF($F274&gt;1000,"Drive miles per visit: use 1,000 or less. ","")))))&amp;IF($G274="","Chemicals per visit is missing. ",IF(NOT(ISNUMBER($G274)),"Chemicals per visit must be a number. ",IF($G274&lt;0,"Chemicals per visit can't be negative. ",IF(ROUND($G274,2)&lt;&gt;$G274,"Chemicals per visit: use up to 2 decimal places. ",IF($G274&gt;9999.99,"Chemicals per visit: use 9,999.99 or less. ","")))))&amp;IF($H274="","Other monthly costs is missing. ",IF(NOT(ISNUMBER($H274)),"Other monthly costs must be a number. ",IF($H274&lt;0,"Other monthly costs can't be negative. ",IF(ROUND($H274,2)&lt;&gt;$H274,"Other monthly costs: use up to 2 decimal places. ",IF($H274&gt;99999.99,"Other monthly costs: use 99,999.99 or less. ","")))))&amp;IF(SettingsOK,"","Settings incomplete.")))</f>
        <v/>
      </c>
      <c r="T274" s="23" t="str">
        <f aca="false">IF(AND($A274="",$B274="",$C274="",$D274="",$E274="",$F274="",$G274="",$H274=""),"",IF(Review!$B$5="Check inputs",IF($R274="Check inputs",ROW(),""),IF($R274="Check inputs",IF(Review!$B$5="All accounts",-2000000000000000+ROW(),""),IF(AND(Review!$B$5="Needs review",$R274="Meets your target"),"",IF($R274="No fee entered",-1000000000000000+ROW(),$N274/$B274+ROW()/1000000000)))))</f>
        <v/>
      </c>
    </row>
    <row r="275" customFormat="false" ht="15" hidden="false" customHeight="false" outlineLevel="0" collapsed="false">
      <c r="A275" s="14"/>
      <c r="B275" s="15"/>
      <c r="C275" s="16"/>
      <c r="D275" s="14"/>
      <c r="E275" s="14"/>
      <c r="F275" s="14"/>
      <c r="G275" s="15"/>
      <c r="H275" s="15"/>
      <c r="I275" s="17" t="str">
        <f aca="false">IF(OR(AND($A275="",$B275="",$C275="",$D275="",$E275="",$F275="",$G275="",$H275=""),NOT($S275="")),"",ROUND($C275*($D275+$E275)/60,4))</f>
        <v/>
      </c>
      <c r="J275" s="18" t="str">
        <f aca="false">IF(OR(AND($A275="",$B275="",$C275="",$D275="",$E275="",$F275="",$G275="",$H275=""),NOT($S275="")),"",ROUND(ROUND($C275*($D275+$E275)/60*$B$5,9),2))</f>
        <v/>
      </c>
      <c r="K275" s="18" t="str">
        <f aca="false">IF(OR(AND($A275="",$B275="",$C275="",$D275="",$E275="",$F275="",$G275="",$H275=""),NOT($S275="")),"",ROUND(ROUND($C275*$F275*$B$6,9),2))</f>
        <v/>
      </c>
      <c r="L275" s="18" t="str">
        <f aca="false">IF(OR(AND($A275="",$B275="",$C275="",$D275="",$E275="",$F275="",$G275="",$H275=""),NOT($S275="")),"",ROUND(ROUND($C275*$G275,9),2))</f>
        <v/>
      </c>
      <c r="M275" s="19" t="str">
        <f aca="false">IF(OR(AND($A275="",$B275="",$C275="",$D275="",$E275="",$F275="",$G275="",$H275=""),NOT($S275="")),"",ROUND($J275+$K275+$L275+$H275,2))</f>
        <v/>
      </c>
      <c r="N275" s="19" t="str">
        <f aca="false">IF(OR(AND($A275="",$B275="",$C275="",$D275="",$E275="",$F275="",$G275="",$H275=""),NOT($S275="")),"",ROUND($B275-$M275,2))</f>
        <v/>
      </c>
      <c r="O275" s="20" t="str">
        <f aca="false">IF(OR(AND($A275="",$B275="",$C275="",$D275="",$E275="",$F275="",$G275="",$H275=""),NOT($S275="")),"",IF($B275=0,"n/a",INT(ROUND($N275/$B275*10000,6))/10000))</f>
        <v/>
      </c>
      <c r="P275" s="18" t="str">
        <f aca="false">IF(OR(AND($A275="",$B275="",$C275="",$D275="",$E275="",$F275="",$G275="",$H275=""),NOT($S275="")),"",ROUNDUP(ROUND($M275*10000/(10000-TargetH),9),2))</f>
        <v/>
      </c>
      <c r="Q275" s="18" t="str">
        <f aca="false">IF(OR(AND($A275="",$B275="",$C275="",$D275="",$E275="",$F275="",$G275="",$H275=""),NOT($S275="")),"",MAX(0,ROUND($P275-$B275,2)))</f>
        <v/>
      </c>
      <c r="R275" s="21" t="str">
        <f aca="false">IF(AND($A275="",$B275="",$C275="",$D275="",$E275="",$F275="",$G275="",$H275=""),"",IF(NOT($S275=""),"Check inputs",IF($B275=0,"No fee entered",IF($N275&lt;0,"Losing money on entered costs",IF(ROUND($N275*100,0)*10000&lt;TargetH*ROUND($B275*100,0),"Below your target","Meets your target")))))</f>
        <v/>
      </c>
      <c r="S275" s="22" t="str">
        <f aca="false">IF(AND($A275="",$B275="",$C275="",$D275="",$E275="",$F275="",$G275="",$H275=""),"",TRIM(IF($A275="","Customer/site label is missing. ","")&amp;IF($B275="","Monthly fee is missing. ",IF(NOT(ISNUMBER($B275)),"Monthly fee must be a number. ",IF($B275&lt;0,"Monthly fee can't be negative. ",IF(ROUND($B275,2)&lt;&gt;$B275,"Monthly fee: use up to 2 decimal places. ",IF($B275&gt;99999.99,"Monthly fee: use 99,999.99 or less. ","")))))&amp;IF($C275="","Visits per month is missing. ",IF(NOT(ISNUMBER($C275)),"Visits per month must be a number. ",IF($C275&lt;0,"Visits per month can't be negative. ",IF(ROUND($C275,3)&lt;&gt;$C275,"Visits per month: use up to 3 decimal places. ",IF($C275=0,"Visits per month must be more than 0. ",IF($C275&gt;31,"Visits per month: use 31 or less. ",""))))))&amp;IF($D275="","Service minutes per visit is missing. ",IF(NOT(ISNUMBER($D275)),"Service minutes per visit must be a number. ",IF($D275&lt;0,"Service minutes per visit can't be negative. ",IF(ROUND($D275,2)&lt;&gt;$D275,"Service minutes per visit: use up to 2 decimal places. ",IF($D275=0,"Service minutes per visit must be more than 0. ",IF($D275&gt;600,"Service minutes per visit: use 600 or less. ",""))))))&amp;IF($E275="","Drive minutes per visit is missing. ",IF(NOT(ISNUMBER($E275)),"Drive minutes per visit must be a number. ",IF($E275&lt;0,"Drive minutes per visit can't be negative. ",IF(ROUND($E275,2)&lt;&gt;$E275,"Drive minutes per visit: use up to 2 decimal places. ",IF($E275&gt;600,"Drive minutes per visit: use 600 or less. ","")))))&amp;IF($F275="","Drive miles per visit is missing. ",IF(NOT(ISNUMBER($F275)),"Drive miles per visit must be a number. ",IF($F275&lt;0,"Drive miles per visit can't be negative. ",IF(ROUND($F275,2)&lt;&gt;$F275,"Drive miles per visit: use up to 2 decimal places. ",IF($F275&gt;1000,"Drive miles per visit: use 1,000 or less. ","")))))&amp;IF($G275="","Chemicals per visit is missing. ",IF(NOT(ISNUMBER($G275)),"Chemicals per visit must be a number. ",IF($G275&lt;0,"Chemicals per visit can't be negative. ",IF(ROUND($G275,2)&lt;&gt;$G275,"Chemicals per visit: use up to 2 decimal places. ",IF($G275&gt;9999.99,"Chemicals per visit: use 9,999.99 or less. ","")))))&amp;IF($H275="","Other monthly costs is missing. ",IF(NOT(ISNUMBER($H275)),"Other monthly costs must be a number. ",IF($H275&lt;0,"Other monthly costs can't be negative. ",IF(ROUND($H275,2)&lt;&gt;$H275,"Other monthly costs: use up to 2 decimal places. ",IF($H275&gt;99999.99,"Other monthly costs: use 99,999.99 or less. ","")))))&amp;IF(SettingsOK,"","Settings incomplete.")))</f>
        <v/>
      </c>
      <c r="T275" s="23" t="str">
        <f aca="false">IF(AND($A275="",$B275="",$C275="",$D275="",$E275="",$F275="",$G275="",$H275=""),"",IF(Review!$B$5="Check inputs",IF($R275="Check inputs",ROW(),""),IF($R275="Check inputs",IF(Review!$B$5="All accounts",-2000000000000000+ROW(),""),IF(AND(Review!$B$5="Needs review",$R275="Meets your target"),"",IF($R275="No fee entered",-1000000000000000+ROW(),$N275/$B275+ROW()/1000000000)))))</f>
        <v/>
      </c>
    </row>
    <row r="276" customFormat="false" ht="15" hidden="false" customHeight="false" outlineLevel="0" collapsed="false">
      <c r="A276" s="14"/>
      <c r="B276" s="15"/>
      <c r="C276" s="16"/>
      <c r="D276" s="14"/>
      <c r="E276" s="14"/>
      <c r="F276" s="14"/>
      <c r="G276" s="15"/>
      <c r="H276" s="15"/>
      <c r="I276" s="17" t="str">
        <f aca="false">IF(OR(AND($A276="",$B276="",$C276="",$D276="",$E276="",$F276="",$G276="",$H276=""),NOT($S276="")),"",ROUND($C276*($D276+$E276)/60,4))</f>
        <v/>
      </c>
      <c r="J276" s="18" t="str">
        <f aca="false">IF(OR(AND($A276="",$B276="",$C276="",$D276="",$E276="",$F276="",$G276="",$H276=""),NOT($S276="")),"",ROUND(ROUND($C276*($D276+$E276)/60*$B$5,9),2))</f>
        <v/>
      </c>
      <c r="K276" s="18" t="str">
        <f aca="false">IF(OR(AND($A276="",$B276="",$C276="",$D276="",$E276="",$F276="",$G276="",$H276=""),NOT($S276="")),"",ROUND(ROUND($C276*$F276*$B$6,9),2))</f>
        <v/>
      </c>
      <c r="L276" s="18" t="str">
        <f aca="false">IF(OR(AND($A276="",$B276="",$C276="",$D276="",$E276="",$F276="",$G276="",$H276=""),NOT($S276="")),"",ROUND(ROUND($C276*$G276,9),2))</f>
        <v/>
      </c>
      <c r="M276" s="19" t="str">
        <f aca="false">IF(OR(AND($A276="",$B276="",$C276="",$D276="",$E276="",$F276="",$G276="",$H276=""),NOT($S276="")),"",ROUND($J276+$K276+$L276+$H276,2))</f>
        <v/>
      </c>
      <c r="N276" s="19" t="str">
        <f aca="false">IF(OR(AND($A276="",$B276="",$C276="",$D276="",$E276="",$F276="",$G276="",$H276=""),NOT($S276="")),"",ROUND($B276-$M276,2))</f>
        <v/>
      </c>
      <c r="O276" s="20" t="str">
        <f aca="false">IF(OR(AND($A276="",$B276="",$C276="",$D276="",$E276="",$F276="",$G276="",$H276=""),NOT($S276="")),"",IF($B276=0,"n/a",INT(ROUND($N276/$B276*10000,6))/10000))</f>
        <v/>
      </c>
      <c r="P276" s="18" t="str">
        <f aca="false">IF(OR(AND($A276="",$B276="",$C276="",$D276="",$E276="",$F276="",$G276="",$H276=""),NOT($S276="")),"",ROUNDUP(ROUND($M276*10000/(10000-TargetH),9),2))</f>
        <v/>
      </c>
      <c r="Q276" s="18" t="str">
        <f aca="false">IF(OR(AND($A276="",$B276="",$C276="",$D276="",$E276="",$F276="",$G276="",$H276=""),NOT($S276="")),"",MAX(0,ROUND($P276-$B276,2)))</f>
        <v/>
      </c>
      <c r="R276" s="21" t="str">
        <f aca="false">IF(AND($A276="",$B276="",$C276="",$D276="",$E276="",$F276="",$G276="",$H276=""),"",IF(NOT($S276=""),"Check inputs",IF($B276=0,"No fee entered",IF($N276&lt;0,"Losing money on entered costs",IF(ROUND($N276*100,0)*10000&lt;TargetH*ROUND($B276*100,0),"Below your target","Meets your target")))))</f>
        <v/>
      </c>
      <c r="S276" s="22" t="str">
        <f aca="false">IF(AND($A276="",$B276="",$C276="",$D276="",$E276="",$F276="",$G276="",$H276=""),"",TRIM(IF($A276="","Customer/site label is missing. ","")&amp;IF($B276="","Monthly fee is missing. ",IF(NOT(ISNUMBER($B276)),"Monthly fee must be a number. ",IF($B276&lt;0,"Monthly fee can't be negative. ",IF(ROUND($B276,2)&lt;&gt;$B276,"Monthly fee: use up to 2 decimal places. ",IF($B276&gt;99999.99,"Monthly fee: use 99,999.99 or less. ","")))))&amp;IF($C276="","Visits per month is missing. ",IF(NOT(ISNUMBER($C276)),"Visits per month must be a number. ",IF($C276&lt;0,"Visits per month can't be negative. ",IF(ROUND($C276,3)&lt;&gt;$C276,"Visits per month: use up to 3 decimal places. ",IF($C276=0,"Visits per month must be more than 0. ",IF($C276&gt;31,"Visits per month: use 31 or less. ",""))))))&amp;IF($D276="","Service minutes per visit is missing. ",IF(NOT(ISNUMBER($D276)),"Service minutes per visit must be a number. ",IF($D276&lt;0,"Service minutes per visit can't be negative. ",IF(ROUND($D276,2)&lt;&gt;$D276,"Service minutes per visit: use up to 2 decimal places. ",IF($D276=0,"Service minutes per visit must be more than 0. ",IF($D276&gt;600,"Service minutes per visit: use 600 or less. ",""))))))&amp;IF($E276="","Drive minutes per visit is missing. ",IF(NOT(ISNUMBER($E276)),"Drive minutes per visit must be a number. ",IF($E276&lt;0,"Drive minutes per visit can't be negative. ",IF(ROUND($E276,2)&lt;&gt;$E276,"Drive minutes per visit: use up to 2 decimal places. ",IF($E276&gt;600,"Drive minutes per visit: use 600 or less. ","")))))&amp;IF($F276="","Drive miles per visit is missing. ",IF(NOT(ISNUMBER($F276)),"Drive miles per visit must be a number. ",IF($F276&lt;0,"Drive miles per visit can't be negative. ",IF(ROUND($F276,2)&lt;&gt;$F276,"Drive miles per visit: use up to 2 decimal places. ",IF($F276&gt;1000,"Drive miles per visit: use 1,000 or less. ","")))))&amp;IF($G276="","Chemicals per visit is missing. ",IF(NOT(ISNUMBER($G276)),"Chemicals per visit must be a number. ",IF($G276&lt;0,"Chemicals per visit can't be negative. ",IF(ROUND($G276,2)&lt;&gt;$G276,"Chemicals per visit: use up to 2 decimal places. ",IF($G276&gt;9999.99,"Chemicals per visit: use 9,999.99 or less. ","")))))&amp;IF($H276="","Other monthly costs is missing. ",IF(NOT(ISNUMBER($H276)),"Other monthly costs must be a number. ",IF($H276&lt;0,"Other monthly costs can't be negative. ",IF(ROUND($H276,2)&lt;&gt;$H276,"Other monthly costs: use up to 2 decimal places. ",IF($H276&gt;99999.99,"Other monthly costs: use 99,999.99 or less. ","")))))&amp;IF(SettingsOK,"","Settings incomplete.")))</f>
        <v/>
      </c>
      <c r="T276" s="23" t="str">
        <f aca="false">IF(AND($A276="",$B276="",$C276="",$D276="",$E276="",$F276="",$G276="",$H276=""),"",IF(Review!$B$5="Check inputs",IF($R276="Check inputs",ROW(),""),IF($R276="Check inputs",IF(Review!$B$5="All accounts",-2000000000000000+ROW(),""),IF(AND(Review!$B$5="Needs review",$R276="Meets your target"),"",IF($R276="No fee entered",-1000000000000000+ROW(),$N276/$B276+ROW()/1000000000)))))</f>
        <v/>
      </c>
    </row>
    <row r="277" customFormat="false" ht="15" hidden="false" customHeight="false" outlineLevel="0" collapsed="false">
      <c r="A277" s="14"/>
      <c r="B277" s="15"/>
      <c r="C277" s="16"/>
      <c r="D277" s="14"/>
      <c r="E277" s="14"/>
      <c r="F277" s="14"/>
      <c r="G277" s="15"/>
      <c r="H277" s="15"/>
      <c r="I277" s="17" t="str">
        <f aca="false">IF(OR(AND($A277="",$B277="",$C277="",$D277="",$E277="",$F277="",$G277="",$H277=""),NOT($S277="")),"",ROUND($C277*($D277+$E277)/60,4))</f>
        <v/>
      </c>
      <c r="J277" s="18" t="str">
        <f aca="false">IF(OR(AND($A277="",$B277="",$C277="",$D277="",$E277="",$F277="",$G277="",$H277=""),NOT($S277="")),"",ROUND(ROUND($C277*($D277+$E277)/60*$B$5,9),2))</f>
        <v/>
      </c>
      <c r="K277" s="18" t="str">
        <f aca="false">IF(OR(AND($A277="",$B277="",$C277="",$D277="",$E277="",$F277="",$G277="",$H277=""),NOT($S277="")),"",ROUND(ROUND($C277*$F277*$B$6,9),2))</f>
        <v/>
      </c>
      <c r="L277" s="18" t="str">
        <f aca="false">IF(OR(AND($A277="",$B277="",$C277="",$D277="",$E277="",$F277="",$G277="",$H277=""),NOT($S277="")),"",ROUND(ROUND($C277*$G277,9),2))</f>
        <v/>
      </c>
      <c r="M277" s="19" t="str">
        <f aca="false">IF(OR(AND($A277="",$B277="",$C277="",$D277="",$E277="",$F277="",$G277="",$H277=""),NOT($S277="")),"",ROUND($J277+$K277+$L277+$H277,2))</f>
        <v/>
      </c>
      <c r="N277" s="19" t="str">
        <f aca="false">IF(OR(AND($A277="",$B277="",$C277="",$D277="",$E277="",$F277="",$G277="",$H277=""),NOT($S277="")),"",ROUND($B277-$M277,2))</f>
        <v/>
      </c>
      <c r="O277" s="20" t="str">
        <f aca="false">IF(OR(AND($A277="",$B277="",$C277="",$D277="",$E277="",$F277="",$G277="",$H277=""),NOT($S277="")),"",IF($B277=0,"n/a",INT(ROUND($N277/$B277*10000,6))/10000))</f>
        <v/>
      </c>
      <c r="P277" s="18" t="str">
        <f aca="false">IF(OR(AND($A277="",$B277="",$C277="",$D277="",$E277="",$F277="",$G277="",$H277=""),NOT($S277="")),"",ROUNDUP(ROUND($M277*10000/(10000-TargetH),9),2))</f>
        <v/>
      </c>
      <c r="Q277" s="18" t="str">
        <f aca="false">IF(OR(AND($A277="",$B277="",$C277="",$D277="",$E277="",$F277="",$G277="",$H277=""),NOT($S277="")),"",MAX(0,ROUND($P277-$B277,2)))</f>
        <v/>
      </c>
      <c r="R277" s="21" t="str">
        <f aca="false">IF(AND($A277="",$B277="",$C277="",$D277="",$E277="",$F277="",$G277="",$H277=""),"",IF(NOT($S277=""),"Check inputs",IF($B277=0,"No fee entered",IF($N277&lt;0,"Losing money on entered costs",IF(ROUND($N277*100,0)*10000&lt;TargetH*ROUND($B277*100,0),"Below your target","Meets your target")))))</f>
        <v/>
      </c>
      <c r="S277" s="22" t="str">
        <f aca="false">IF(AND($A277="",$B277="",$C277="",$D277="",$E277="",$F277="",$G277="",$H277=""),"",TRIM(IF($A277="","Customer/site label is missing. ","")&amp;IF($B277="","Monthly fee is missing. ",IF(NOT(ISNUMBER($B277)),"Monthly fee must be a number. ",IF($B277&lt;0,"Monthly fee can't be negative. ",IF(ROUND($B277,2)&lt;&gt;$B277,"Monthly fee: use up to 2 decimal places. ",IF($B277&gt;99999.99,"Monthly fee: use 99,999.99 or less. ","")))))&amp;IF($C277="","Visits per month is missing. ",IF(NOT(ISNUMBER($C277)),"Visits per month must be a number. ",IF($C277&lt;0,"Visits per month can't be negative. ",IF(ROUND($C277,3)&lt;&gt;$C277,"Visits per month: use up to 3 decimal places. ",IF($C277=0,"Visits per month must be more than 0. ",IF($C277&gt;31,"Visits per month: use 31 or less. ",""))))))&amp;IF($D277="","Service minutes per visit is missing. ",IF(NOT(ISNUMBER($D277)),"Service minutes per visit must be a number. ",IF($D277&lt;0,"Service minutes per visit can't be negative. ",IF(ROUND($D277,2)&lt;&gt;$D277,"Service minutes per visit: use up to 2 decimal places. ",IF($D277=0,"Service minutes per visit must be more than 0. ",IF($D277&gt;600,"Service minutes per visit: use 600 or less. ",""))))))&amp;IF($E277="","Drive minutes per visit is missing. ",IF(NOT(ISNUMBER($E277)),"Drive minutes per visit must be a number. ",IF($E277&lt;0,"Drive minutes per visit can't be negative. ",IF(ROUND($E277,2)&lt;&gt;$E277,"Drive minutes per visit: use up to 2 decimal places. ",IF($E277&gt;600,"Drive minutes per visit: use 600 or less. ","")))))&amp;IF($F277="","Drive miles per visit is missing. ",IF(NOT(ISNUMBER($F277)),"Drive miles per visit must be a number. ",IF($F277&lt;0,"Drive miles per visit can't be negative. ",IF(ROUND($F277,2)&lt;&gt;$F277,"Drive miles per visit: use up to 2 decimal places. ",IF($F277&gt;1000,"Drive miles per visit: use 1,000 or less. ","")))))&amp;IF($G277="","Chemicals per visit is missing. ",IF(NOT(ISNUMBER($G277)),"Chemicals per visit must be a number. ",IF($G277&lt;0,"Chemicals per visit can't be negative. ",IF(ROUND($G277,2)&lt;&gt;$G277,"Chemicals per visit: use up to 2 decimal places. ",IF($G277&gt;9999.99,"Chemicals per visit: use 9,999.99 or less. ","")))))&amp;IF($H277="","Other monthly costs is missing. ",IF(NOT(ISNUMBER($H277)),"Other monthly costs must be a number. ",IF($H277&lt;0,"Other monthly costs can't be negative. ",IF(ROUND($H277,2)&lt;&gt;$H277,"Other monthly costs: use up to 2 decimal places. ",IF($H277&gt;99999.99,"Other monthly costs: use 99,999.99 or less. ","")))))&amp;IF(SettingsOK,"","Settings incomplete.")))</f>
        <v/>
      </c>
      <c r="T277" s="23" t="str">
        <f aca="false">IF(AND($A277="",$B277="",$C277="",$D277="",$E277="",$F277="",$G277="",$H277=""),"",IF(Review!$B$5="Check inputs",IF($R277="Check inputs",ROW(),""),IF($R277="Check inputs",IF(Review!$B$5="All accounts",-2000000000000000+ROW(),""),IF(AND(Review!$B$5="Needs review",$R277="Meets your target"),"",IF($R277="No fee entered",-1000000000000000+ROW(),$N277/$B277+ROW()/1000000000)))))</f>
        <v/>
      </c>
    </row>
    <row r="278" customFormat="false" ht="15" hidden="false" customHeight="false" outlineLevel="0" collapsed="false">
      <c r="A278" s="14"/>
      <c r="B278" s="15"/>
      <c r="C278" s="16"/>
      <c r="D278" s="14"/>
      <c r="E278" s="14"/>
      <c r="F278" s="14"/>
      <c r="G278" s="15"/>
      <c r="H278" s="15"/>
      <c r="I278" s="17" t="str">
        <f aca="false">IF(OR(AND($A278="",$B278="",$C278="",$D278="",$E278="",$F278="",$G278="",$H278=""),NOT($S278="")),"",ROUND($C278*($D278+$E278)/60,4))</f>
        <v/>
      </c>
      <c r="J278" s="18" t="str">
        <f aca="false">IF(OR(AND($A278="",$B278="",$C278="",$D278="",$E278="",$F278="",$G278="",$H278=""),NOT($S278="")),"",ROUND(ROUND($C278*($D278+$E278)/60*$B$5,9),2))</f>
        <v/>
      </c>
      <c r="K278" s="18" t="str">
        <f aca="false">IF(OR(AND($A278="",$B278="",$C278="",$D278="",$E278="",$F278="",$G278="",$H278=""),NOT($S278="")),"",ROUND(ROUND($C278*$F278*$B$6,9),2))</f>
        <v/>
      </c>
      <c r="L278" s="18" t="str">
        <f aca="false">IF(OR(AND($A278="",$B278="",$C278="",$D278="",$E278="",$F278="",$G278="",$H278=""),NOT($S278="")),"",ROUND(ROUND($C278*$G278,9),2))</f>
        <v/>
      </c>
      <c r="M278" s="19" t="str">
        <f aca="false">IF(OR(AND($A278="",$B278="",$C278="",$D278="",$E278="",$F278="",$G278="",$H278=""),NOT($S278="")),"",ROUND($J278+$K278+$L278+$H278,2))</f>
        <v/>
      </c>
      <c r="N278" s="19" t="str">
        <f aca="false">IF(OR(AND($A278="",$B278="",$C278="",$D278="",$E278="",$F278="",$G278="",$H278=""),NOT($S278="")),"",ROUND($B278-$M278,2))</f>
        <v/>
      </c>
      <c r="O278" s="20" t="str">
        <f aca="false">IF(OR(AND($A278="",$B278="",$C278="",$D278="",$E278="",$F278="",$G278="",$H278=""),NOT($S278="")),"",IF($B278=0,"n/a",INT(ROUND($N278/$B278*10000,6))/10000))</f>
        <v/>
      </c>
      <c r="P278" s="18" t="str">
        <f aca="false">IF(OR(AND($A278="",$B278="",$C278="",$D278="",$E278="",$F278="",$G278="",$H278=""),NOT($S278="")),"",ROUNDUP(ROUND($M278*10000/(10000-TargetH),9),2))</f>
        <v/>
      </c>
      <c r="Q278" s="18" t="str">
        <f aca="false">IF(OR(AND($A278="",$B278="",$C278="",$D278="",$E278="",$F278="",$G278="",$H278=""),NOT($S278="")),"",MAX(0,ROUND($P278-$B278,2)))</f>
        <v/>
      </c>
      <c r="R278" s="21" t="str">
        <f aca="false">IF(AND($A278="",$B278="",$C278="",$D278="",$E278="",$F278="",$G278="",$H278=""),"",IF(NOT($S278=""),"Check inputs",IF($B278=0,"No fee entered",IF($N278&lt;0,"Losing money on entered costs",IF(ROUND($N278*100,0)*10000&lt;TargetH*ROUND($B278*100,0),"Below your target","Meets your target")))))</f>
        <v/>
      </c>
      <c r="S278" s="22" t="str">
        <f aca="false">IF(AND($A278="",$B278="",$C278="",$D278="",$E278="",$F278="",$G278="",$H278=""),"",TRIM(IF($A278="","Customer/site label is missing. ","")&amp;IF($B278="","Monthly fee is missing. ",IF(NOT(ISNUMBER($B278)),"Monthly fee must be a number. ",IF($B278&lt;0,"Monthly fee can't be negative. ",IF(ROUND($B278,2)&lt;&gt;$B278,"Monthly fee: use up to 2 decimal places. ",IF($B278&gt;99999.99,"Monthly fee: use 99,999.99 or less. ","")))))&amp;IF($C278="","Visits per month is missing. ",IF(NOT(ISNUMBER($C278)),"Visits per month must be a number. ",IF($C278&lt;0,"Visits per month can't be negative. ",IF(ROUND($C278,3)&lt;&gt;$C278,"Visits per month: use up to 3 decimal places. ",IF($C278=0,"Visits per month must be more than 0. ",IF($C278&gt;31,"Visits per month: use 31 or less. ",""))))))&amp;IF($D278="","Service minutes per visit is missing. ",IF(NOT(ISNUMBER($D278)),"Service minutes per visit must be a number. ",IF($D278&lt;0,"Service minutes per visit can't be negative. ",IF(ROUND($D278,2)&lt;&gt;$D278,"Service minutes per visit: use up to 2 decimal places. ",IF($D278=0,"Service minutes per visit must be more than 0. ",IF($D278&gt;600,"Service minutes per visit: use 600 or less. ",""))))))&amp;IF($E278="","Drive minutes per visit is missing. ",IF(NOT(ISNUMBER($E278)),"Drive minutes per visit must be a number. ",IF($E278&lt;0,"Drive minutes per visit can't be negative. ",IF(ROUND($E278,2)&lt;&gt;$E278,"Drive minutes per visit: use up to 2 decimal places. ",IF($E278&gt;600,"Drive minutes per visit: use 600 or less. ","")))))&amp;IF($F278="","Drive miles per visit is missing. ",IF(NOT(ISNUMBER($F278)),"Drive miles per visit must be a number. ",IF($F278&lt;0,"Drive miles per visit can't be negative. ",IF(ROUND($F278,2)&lt;&gt;$F278,"Drive miles per visit: use up to 2 decimal places. ",IF($F278&gt;1000,"Drive miles per visit: use 1,000 or less. ","")))))&amp;IF($G278="","Chemicals per visit is missing. ",IF(NOT(ISNUMBER($G278)),"Chemicals per visit must be a number. ",IF($G278&lt;0,"Chemicals per visit can't be negative. ",IF(ROUND($G278,2)&lt;&gt;$G278,"Chemicals per visit: use up to 2 decimal places. ",IF($G278&gt;9999.99,"Chemicals per visit: use 9,999.99 or less. ","")))))&amp;IF($H278="","Other monthly costs is missing. ",IF(NOT(ISNUMBER($H278)),"Other monthly costs must be a number. ",IF($H278&lt;0,"Other monthly costs can't be negative. ",IF(ROUND($H278,2)&lt;&gt;$H278,"Other monthly costs: use up to 2 decimal places. ",IF($H278&gt;99999.99,"Other monthly costs: use 99,999.99 or less. ","")))))&amp;IF(SettingsOK,"","Settings incomplete.")))</f>
        <v/>
      </c>
      <c r="T278" s="23" t="str">
        <f aca="false">IF(AND($A278="",$B278="",$C278="",$D278="",$E278="",$F278="",$G278="",$H278=""),"",IF(Review!$B$5="Check inputs",IF($R278="Check inputs",ROW(),""),IF($R278="Check inputs",IF(Review!$B$5="All accounts",-2000000000000000+ROW(),""),IF(AND(Review!$B$5="Needs review",$R278="Meets your target"),"",IF($R278="No fee entered",-1000000000000000+ROW(),$N278/$B278+ROW()/1000000000)))))</f>
        <v/>
      </c>
    </row>
    <row r="279" customFormat="false" ht="15" hidden="false" customHeight="false" outlineLevel="0" collapsed="false">
      <c r="A279" s="14"/>
      <c r="B279" s="15"/>
      <c r="C279" s="16"/>
      <c r="D279" s="14"/>
      <c r="E279" s="14"/>
      <c r="F279" s="14"/>
      <c r="G279" s="15"/>
      <c r="H279" s="15"/>
      <c r="I279" s="17" t="str">
        <f aca="false">IF(OR(AND($A279="",$B279="",$C279="",$D279="",$E279="",$F279="",$G279="",$H279=""),NOT($S279="")),"",ROUND($C279*($D279+$E279)/60,4))</f>
        <v/>
      </c>
      <c r="J279" s="18" t="str">
        <f aca="false">IF(OR(AND($A279="",$B279="",$C279="",$D279="",$E279="",$F279="",$G279="",$H279=""),NOT($S279="")),"",ROUND(ROUND($C279*($D279+$E279)/60*$B$5,9),2))</f>
        <v/>
      </c>
      <c r="K279" s="18" t="str">
        <f aca="false">IF(OR(AND($A279="",$B279="",$C279="",$D279="",$E279="",$F279="",$G279="",$H279=""),NOT($S279="")),"",ROUND(ROUND($C279*$F279*$B$6,9),2))</f>
        <v/>
      </c>
      <c r="L279" s="18" t="str">
        <f aca="false">IF(OR(AND($A279="",$B279="",$C279="",$D279="",$E279="",$F279="",$G279="",$H279=""),NOT($S279="")),"",ROUND(ROUND($C279*$G279,9),2))</f>
        <v/>
      </c>
      <c r="M279" s="19" t="str">
        <f aca="false">IF(OR(AND($A279="",$B279="",$C279="",$D279="",$E279="",$F279="",$G279="",$H279=""),NOT($S279="")),"",ROUND($J279+$K279+$L279+$H279,2))</f>
        <v/>
      </c>
      <c r="N279" s="19" t="str">
        <f aca="false">IF(OR(AND($A279="",$B279="",$C279="",$D279="",$E279="",$F279="",$G279="",$H279=""),NOT($S279="")),"",ROUND($B279-$M279,2))</f>
        <v/>
      </c>
      <c r="O279" s="20" t="str">
        <f aca="false">IF(OR(AND($A279="",$B279="",$C279="",$D279="",$E279="",$F279="",$G279="",$H279=""),NOT($S279="")),"",IF($B279=0,"n/a",INT(ROUND($N279/$B279*10000,6))/10000))</f>
        <v/>
      </c>
      <c r="P279" s="18" t="str">
        <f aca="false">IF(OR(AND($A279="",$B279="",$C279="",$D279="",$E279="",$F279="",$G279="",$H279=""),NOT($S279="")),"",ROUNDUP(ROUND($M279*10000/(10000-TargetH),9),2))</f>
        <v/>
      </c>
      <c r="Q279" s="18" t="str">
        <f aca="false">IF(OR(AND($A279="",$B279="",$C279="",$D279="",$E279="",$F279="",$G279="",$H279=""),NOT($S279="")),"",MAX(0,ROUND($P279-$B279,2)))</f>
        <v/>
      </c>
      <c r="R279" s="21" t="str">
        <f aca="false">IF(AND($A279="",$B279="",$C279="",$D279="",$E279="",$F279="",$G279="",$H279=""),"",IF(NOT($S279=""),"Check inputs",IF($B279=0,"No fee entered",IF($N279&lt;0,"Losing money on entered costs",IF(ROUND($N279*100,0)*10000&lt;TargetH*ROUND($B279*100,0),"Below your target","Meets your target")))))</f>
        <v/>
      </c>
      <c r="S279" s="22" t="str">
        <f aca="false">IF(AND($A279="",$B279="",$C279="",$D279="",$E279="",$F279="",$G279="",$H279=""),"",TRIM(IF($A279="","Customer/site label is missing. ","")&amp;IF($B279="","Monthly fee is missing. ",IF(NOT(ISNUMBER($B279)),"Monthly fee must be a number. ",IF($B279&lt;0,"Monthly fee can't be negative. ",IF(ROUND($B279,2)&lt;&gt;$B279,"Monthly fee: use up to 2 decimal places. ",IF($B279&gt;99999.99,"Monthly fee: use 99,999.99 or less. ","")))))&amp;IF($C279="","Visits per month is missing. ",IF(NOT(ISNUMBER($C279)),"Visits per month must be a number. ",IF($C279&lt;0,"Visits per month can't be negative. ",IF(ROUND($C279,3)&lt;&gt;$C279,"Visits per month: use up to 3 decimal places. ",IF($C279=0,"Visits per month must be more than 0. ",IF($C279&gt;31,"Visits per month: use 31 or less. ",""))))))&amp;IF($D279="","Service minutes per visit is missing. ",IF(NOT(ISNUMBER($D279)),"Service minutes per visit must be a number. ",IF($D279&lt;0,"Service minutes per visit can't be negative. ",IF(ROUND($D279,2)&lt;&gt;$D279,"Service minutes per visit: use up to 2 decimal places. ",IF($D279=0,"Service minutes per visit must be more than 0. ",IF($D279&gt;600,"Service minutes per visit: use 600 or less. ",""))))))&amp;IF($E279="","Drive minutes per visit is missing. ",IF(NOT(ISNUMBER($E279)),"Drive minutes per visit must be a number. ",IF($E279&lt;0,"Drive minutes per visit can't be negative. ",IF(ROUND($E279,2)&lt;&gt;$E279,"Drive minutes per visit: use up to 2 decimal places. ",IF($E279&gt;600,"Drive minutes per visit: use 600 or less. ","")))))&amp;IF($F279="","Drive miles per visit is missing. ",IF(NOT(ISNUMBER($F279)),"Drive miles per visit must be a number. ",IF($F279&lt;0,"Drive miles per visit can't be negative. ",IF(ROUND($F279,2)&lt;&gt;$F279,"Drive miles per visit: use up to 2 decimal places. ",IF($F279&gt;1000,"Drive miles per visit: use 1,000 or less. ","")))))&amp;IF($G279="","Chemicals per visit is missing. ",IF(NOT(ISNUMBER($G279)),"Chemicals per visit must be a number. ",IF($G279&lt;0,"Chemicals per visit can't be negative. ",IF(ROUND($G279,2)&lt;&gt;$G279,"Chemicals per visit: use up to 2 decimal places. ",IF($G279&gt;9999.99,"Chemicals per visit: use 9,999.99 or less. ","")))))&amp;IF($H279="","Other monthly costs is missing. ",IF(NOT(ISNUMBER($H279)),"Other monthly costs must be a number. ",IF($H279&lt;0,"Other monthly costs can't be negative. ",IF(ROUND($H279,2)&lt;&gt;$H279,"Other monthly costs: use up to 2 decimal places. ",IF($H279&gt;99999.99,"Other monthly costs: use 99,999.99 or less. ","")))))&amp;IF(SettingsOK,"","Settings incomplete.")))</f>
        <v/>
      </c>
      <c r="T279" s="23" t="str">
        <f aca="false">IF(AND($A279="",$B279="",$C279="",$D279="",$E279="",$F279="",$G279="",$H279=""),"",IF(Review!$B$5="Check inputs",IF($R279="Check inputs",ROW(),""),IF($R279="Check inputs",IF(Review!$B$5="All accounts",-2000000000000000+ROW(),""),IF(AND(Review!$B$5="Needs review",$R279="Meets your target"),"",IF($R279="No fee entered",-1000000000000000+ROW(),$N279/$B279+ROW()/1000000000)))))</f>
        <v/>
      </c>
    </row>
    <row r="280" customFormat="false" ht="15" hidden="false" customHeight="false" outlineLevel="0" collapsed="false">
      <c r="A280" s="14"/>
      <c r="B280" s="15"/>
      <c r="C280" s="16"/>
      <c r="D280" s="14"/>
      <c r="E280" s="14"/>
      <c r="F280" s="14"/>
      <c r="G280" s="15"/>
      <c r="H280" s="15"/>
      <c r="I280" s="17" t="str">
        <f aca="false">IF(OR(AND($A280="",$B280="",$C280="",$D280="",$E280="",$F280="",$G280="",$H280=""),NOT($S280="")),"",ROUND($C280*($D280+$E280)/60,4))</f>
        <v/>
      </c>
      <c r="J280" s="18" t="str">
        <f aca="false">IF(OR(AND($A280="",$B280="",$C280="",$D280="",$E280="",$F280="",$G280="",$H280=""),NOT($S280="")),"",ROUND(ROUND($C280*($D280+$E280)/60*$B$5,9),2))</f>
        <v/>
      </c>
      <c r="K280" s="18" t="str">
        <f aca="false">IF(OR(AND($A280="",$B280="",$C280="",$D280="",$E280="",$F280="",$G280="",$H280=""),NOT($S280="")),"",ROUND(ROUND($C280*$F280*$B$6,9),2))</f>
        <v/>
      </c>
      <c r="L280" s="18" t="str">
        <f aca="false">IF(OR(AND($A280="",$B280="",$C280="",$D280="",$E280="",$F280="",$G280="",$H280=""),NOT($S280="")),"",ROUND(ROUND($C280*$G280,9),2))</f>
        <v/>
      </c>
      <c r="M280" s="19" t="str">
        <f aca="false">IF(OR(AND($A280="",$B280="",$C280="",$D280="",$E280="",$F280="",$G280="",$H280=""),NOT($S280="")),"",ROUND($J280+$K280+$L280+$H280,2))</f>
        <v/>
      </c>
      <c r="N280" s="19" t="str">
        <f aca="false">IF(OR(AND($A280="",$B280="",$C280="",$D280="",$E280="",$F280="",$G280="",$H280=""),NOT($S280="")),"",ROUND($B280-$M280,2))</f>
        <v/>
      </c>
      <c r="O280" s="20" t="str">
        <f aca="false">IF(OR(AND($A280="",$B280="",$C280="",$D280="",$E280="",$F280="",$G280="",$H280=""),NOT($S280="")),"",IF($B280=0,"n/a",INT(ROUND($N280/$B280*10000,6))/10000))</f>
        <v/>
      </c>
      <c r="P280" s="18" t="str">
        <f aca="false">IF(OR(AND($A280="",$B280="",$C280="",$D280="",$E280="",$F280="",$G280="",$H280=""),NOT($S280="")),"",ROUNDUP(ROUND($M280*10000/(10000-TargetH),9),2))</f>
        <v/>
      </c>
      <c r="Q280" s="18" t="str">
        <f aca="false">IF(OR(AND($A280="",$B280="",$C280="",$D280="",$E280="",$F280="",$G280="",$H280=""),NOT($S280="")),"",MAX(0,ROUND($P280-$B280,2)))</f>
        <v/>
      </c>
      <c r="R280" s="21" t="str">
        <f aca="false">IF(AND($A280="",$B280="",$C280="",$D280="",$E280="",$F280="",$G280="",$H280=""),"",IF(NOT($S280=""),"Check inputs",IF($B280=0,"No fee entered",IF($N280&lt;0,"Losing money on entered costs",IF(ROUND($N280*100,0)*10000&lt;TargetH*ROUND($B280*100,0),"Below your target","Meets your target")))))</f>
        <v/>
      </c>
      <c r="S280" s="22" t="str">
        <f aca="false">IF(AND($A280="",$B280="",$C280="",$D280="",$E280="",$F280="",$G280="",$H280=""),"",TRIM(IF($A280="","Customer/site label is missing. ","")&amp;IF($B280="","Monthly fee is missing. ",IF(NOT(ISNUMBER($B280)),"Monthly fee must be a number. ",IF($B280&lt;0,"Monthly fee can't be negative. ",IF(ROUND($B280,2)&lt;&gt;$B280,"Monthly fee: use up to 2 decimal places. ",IF($B280&gt;99999.99,"Monthly fee: use 99,999.99 or less. ","")))))&amp;IF($C280="","Visits per month is missing. ",IF(NOT(ISNUMBER($C280)),"Visits per month must be a number. ",IF($C280&lt;0,"Visits per month can't be negative. ",IF(ROUND($C280,3)&lt;&gt;$C280,"Visits per month: use up to 3 decimal places. ",IF($C280=0,"Visits per month must be more than 0. ",IF($C280&gt;31,"Visits per month: use 31 or less. ",""))))))&amp;IF($D280="","Service minutes per visit is missing. ",IF(NOT(ISNUMBER($D280)),"Service minutes per visit must be a number. ",IF($D280&lt;0,"Service minutes per visit can't be negative. ",IF(ROUND($D280,2)&lt;&gt;$D280,"Service minutes per visit: use up to 2 decimal places. ",IF($D280=0,"Service minutes per visit must be more than 0. ",IF($D280&gt;600,"Service minutes per visit: use 600 or less. ",""))))))&amp;IF($E280="","Drive minutes per visit is missing. ",IF(NOT(ISNUMBER($E280)),"Drive minutes per visit must be a number. ",IF($E280&lt;0,"Drive minutes per visit can't be negative. ",IF(ROUND($E280,2)&lt;&gt;$E280,"Drive minutes per visit: use up to 2 decimal places. ",IF($E280&gt;600,"Drive minutes per visit: use 600 or less. ","")))))&amp;IF($F280="","Drive miles per visit is missing. ",IF(NOT(ISNUMBER($F280)),"Drive miles per visit must be a number. ",IF($F280&lt;0,"Drive miles per visit can't be negative. ",IF(ROUND($F280,2)&lt;&gt;$F280,"Drive miles per visit: use up to 2 decimal places. ",IF($F280&gt;1000,"Drive miles per visit: use 1,000 or less. ","")))))&amp;IF($G280="","Chemicals per visit is missing. ",IF(NOT(ISNUMBER($G280)),"Chemicals per visit must be a number. ",IF($G280&lt;0,"Chemicals per visit can't be negative. ",IF(ROUND($G280,2)&lt;&gt;$G280,"Chemicals per visit: use up to 2 decimal places. ",IF($G280&gt;9999.99,"Chemicals per visit: use 9,999.99 or less. ","")))))&amp;IF($H280="","Other monthly costs is missing. ",IF(NOT(ISNUMBER($H280)),"Other monthly costs must be a number. ",IF($H280&lt;0,"Other monthly costs can't be negative. ",IF(ROUND($H280,2)&lt;&gt;$H280,"Other monthly costs: use up to 2 decimal places. ",IF($H280&gt;99999.99,"Other monthly costs: use 99,999.99 or less. ","")))))&amp;IF(SettingsOK,"","Settings incomplete.")))</f>
        <v/>
      </c>
      <c r="T280" s="23" t="str">
        <f aca="false">IF(AND($A280="",$B280="",$C280="",$D280="",$E280="",$F280="",$G280="",$H280=""),"",IF(Review!$B$5="Check inputs",IF($R280="Check inputs",ROW(),""),IF($R280="Check inputs",IF(Review!$B$5="All accounts",-2000000000000000+ROW(),""),IF(AND(Review!$B$5="Needs review",$R280="Meets your target"),"",IF($R280="No fee entered",-1000000000000000+ROW(),$N280/$B280+ROW()/1000000000)))))</f>
        <v/>
      </c>
    </row>
    <row r="281" customFormat="false" ht="15" hidden="false" customHeight="false" outlineLevel="0" collapsed="false">
      <c r="A281" s="14"/>
      <c r="B281" s="15"/>
      <c r="C281" s="16"/>
      <c r="D281" s="14"/>
      <c r="E281" s="14"/>
      <c r="F281" s="14"/>
      <c r="G281" s="15"/>
      <c r="H281" s="15"/>
      <c r="I281" s="17" t="str">
        <f aca="false">IF(OR(AND($A281="",$B281="",$C281="",$D281="",$E281="",$F281="",$G281="",$H281=""),NOT($S281="")),"",ROUND($C281*($D281+$E281)/60,4))</f>
        <v/>
      </c>
      <c r="J281" s="18" t="str">
        <f aca="false">IF(OR(AND($A281="",$B281="",$C281="",$D281="",$E281="",$F281="",$G281="",$H281=""),NOT($S281="")),"",ROUND(ROUND($C281*($D281+$E281)/60*$B$5,9),2))</f>
        <v/>
      </c>
      <c r="K281" s="18" t="str">
        <f aca="false">IF(OR(AND($A281="",$B281="",$C281="",$D281="",$E281="",$F281="",$G281="",$H281=""),NOT($S281="")),"",ROUND(ROUND($C281*$F281*$B$6,9),2))</f>
        <v/>
      </c>
      <c r="L281" s="18" t="str">
        <f aca="false">IF(OR(AND($A281="",$B281="",$C281="",$D281="",$E281="",$F281="",$G281="",$H281=""),NOT($S281="")),"",ROUND(ROUND($C281*$G281,9),2))</f>
        <v/>
      </c>
      <c r="M281" s="19" t="str">
        <f aca="false">IF(OR(AND($A281="",$B281="",$C281="",$D281="",$E281="",$F281="",$G281="",$H281=""),NOT($S281="")),"",ROUND($J281+$K281+$L281+$H281,2))</f>
        <v/>
      </c>
      <c r="N281" s="19" t="str">
        <f aca="false">IF(OR(AND($A281="",$B281="",$C281="",$D281="",$E281="",$F281="",$G281="",$H281=""),NOT($S281="")),"",ROUND($B281-$M281,2))</f>
        <v/>
      </c>
      <c r="O281" s="20" t="str">
        <f aca="false">IF(OR(AND($A281="",$B281="",$C281="",$D281="",$E281="",$F281="",$G281="",$H281=""),NOT($S281="")),"",IF($B281=0,"n/a",INT(ROUND($N281/$B281*10000,6))/10000))</f>
        <v/>
      </c>
      <c r="P281" s="18" t="str">
        <f aca="false">IF(OR(AND($A281="",$B281="",$C281="",$D281="",$E281="",$F281="",$G281="",$H281=""),NOT($S281="")),"",ROUNDUP(ROUND($M281*10000/(10000-TargetH),9),2))</f>
        <v/>
      </c>
      <c r="Q281" s="18" t="str">
        <f aca="false">IF(OR(AND($A281="",$B281="",$C281="",$D281="",$E281="",$F281="",$G281="",$H281=""),NOT($S281="")),"",MAX(0,ROUND($P281-$B281,2)))</f>
        <v/>
      </c>
      <c r="R281" s="21" t="str">
        <f aca="false">IF(AND($A281="",$B281="",$C281="",$D281="",$E281="",$F281="",$G281="",$H281=""),"",IF(NOT($S281=""),"Check inputs",IF($B281=0,"No fee entered",IF($N281&lt;0,"Losing money on entered costs",IF(ROUND($N281*100,0)*10000&lt;TargetH*ROUND($B281*100,0),"Below your target","Meets your target")))))</f>
        <v/>
      </c>
      <c r="S281" s="22" t="str">
        <f aca="false">IF(AND($A281="",$B281="",$C281="",$D281="",$E281="",$F281="",$G281="",$H281=""),"",TRIM(IF($A281="","Customer/site label is missing. ","")&amp;IF($B281="","Monthly fee is missing. ",IF(NOT(ISNUMBER($B281)),"Monthly fee must be a number. ",IF($B281&lt;0,"Monthly fee can't be negative. ",IF(ROUND($B281,2)&lt;&gt;$B281,"Monthly fee: use up to 2 decimal places. ",IF($B281&gt;99999.99,"Monthly fee: use 99,999.99 or less. ","")))))&amp;IF($C281="","Visits per month is missing. ",IF(NOT(ISNUMBER($C281)),"Visits per month must be a number. ",IF($C281&lt;0,"Visits per month can't be negative. ",IF(ROUND($C281,3)&lt;&gt;$C281,"Visits per month: use up to 3 decimal places. ",IF($C281=0,"Visits per month must be more than 0. ",IF($C281&gt;31,"Visits per month: use 31 or less. ",""))))))&amp;IF($D281="","Service minutes per visit is missing. ",IF(NOT(ISNUMBER($D281)),"Service minutes per visit must be a number. ",IF($D281&lt;0,"Service minutes per visit can't be negative. ",IF(ROUND($D281,2)&lt;&gt;$D281,"Service minutes per visit: use up to 2 decimal places. ",IF($D281=0,"Service minutes per visit must be more than 0. ",IF($D281&gt;600,"Service minutes per visit: use 600 or less. ",""))))))&amp;IF($E281="","Drive minutes per visit is missing. ",IF(NOT(ISNUMBER($E281)),"Drive minutes per visit must be a number. ",IF($E281&lt;0,"Drive minutes per visit can't be negative. ",IF(ROUND($E281,2)&lt;&gt;$E281,"Drive minutes per visit: use up to 2 decimal places. ",IF($E281&gt;600,"Drive minutes per visit: use 600 or less. ","")))))&amp;IF($F281="","Drive miles per visit is missing. ",IF(NOT(ISNUMBER($F281)),"Drive miles per visit must be a number. ",IF($F281&lt;0,"Drive miles per visit can't be negative. ",IF(ROUND($F281,2)&lt;&gt;$F281,"Drive miles per visit: use up to 2 decimal places. ",IF($F281&gt;1000,"Drive miles per visit: use 1,000 or less. ","")))))&amp;IF($G281="","Chemicals per visit is missing. ",IF(NOT(ISNUMBER($G281)),"Chemicals per visit must be a number. ",IF($G281&lt;0,"Chemicals per visit can't be negative. ",IF(ROUND($G281,2)&lt;&gt;$G281,"Chemicals per visit: use up to 2 decimal places. ",IF($G281&gt;9999.99,"Chemicals per visit: use 9,999.99 or less. ","")))))&amp;IF($H281="","Other monthly costs is missing. ",IF(NOT(ISNUMBER($H281)),"Other monthly costs must be a number. ",IF($H281&lt;0,"Other monthly costs can't be negative. ",IF(ROUND($H281,2)&lt;&gt;$H281,"Other monthly costs: use up to 2 decimal places. ",IF($H281&gt;99999.99,"Other monthly costs: use 99,999.99 or less. ","")))))&amp;IF(SettingsOK,"","Settings incomplete.")))</f>
        <v/>
      </c>
      <c r="T281" s="23" t="str">
        <f aca="false">IF(AND($A281="",$B281="",$C281="",$D281="",$E281="",$F281="",$G281="",$H281=""),"",IF(Review!$B$5="Check inputs",IF($R281="Check inputs",ROW(),""),IF($R281="Check inputs",IF(Review!$B$5="All accounts",-2000000000000000+ROW(),""),IF(AND(Review!$B$5="Needs review",$R281="Meets your target"),"",IF($R281="No fee entered",-1000000000000000+ROW(),$N281/$B281+ROW()/1000000000)))))</f>
        <v/>
      </c>
    </row>
    <row r="282" customFormat="false" ht="15" hidden="false" customHeight="false" outlineLevel="0" collapsed="false">
      <c r="A282" s="14"/>
      <c r="B282" s="15"/>
      <c r="C282" s="16"/>
      <c r="D282" s="14"/>
      <c r="E282" s="14"/>
      <c r="F282" s="14"/>
      <c r="G282" s="15"/>
      <c r="H282" s="15"/>
      <c r="I282" s="17" t="str">
        <f aca="false">IF(OR(AND($A282="",$B282="",$C282="",$D282="",$E282="",$F282="",$G282="",$H282=""),NOT($S282="")),"",ROUND($C282*($D282+$E282)/60,4))</f>
        <v/>
      </c>
      <c r="J282" s="18" t="str">
        <f aca="false">IF(OR(AND($A282="",$B282="",$C282="",$D282="",$E282="",$F282="",$G282="",$H282=""),NOT($S282="")),"",ROUND(ROUND($C282*($D282+$E282)/60*$B$5,9),2))</f>
        <v/>
      </c>
      <c r="K282" s="18" t="str">
        <f aca="false">IF(OR(AND($A282="",$B282="",$C282="",$D282="",$E282="",$F282="",$G282="",$H282=""),NOT($S282="")),"",ROUND(ROUND($C282*$F282*$B$6,9),2))</f>
        <v/>
      </c>
      <c r="L282" s="18" t="str">
        <f aca="false">IF(OR(AND($A282="",$B282="",$C282="",$D282="",$E282="",$F282="",$G282="",$H282=""),NOT($S282="")),"",ROUND(ROUND($C282*$G282,9),2))</f>
        <v/>
      </c>
      <c r="M282" s="19" t="str">
        <f aca="false">IF(OR(AND($A282="",$B282="",$C282="",$D282="",$E282="",$F282="",$G282="",$H282=""),NOT($S282="")),"",ROUND($J282+$K282+$L282+$H282,2))</f>
        <v/>
      </c>
      <c r="N282" s="19" t="str">
        <f aca="false">IF(OR(AND($A282="",$B282="",$C282="",$D282="",$E282="",$F282="",$G282="",$H282=""),NOT($S282="")),"",ROUND($B282-$M282,2))</f>
        <v/>
      </c>
      <c r="O282" s="20" t="str">
        <f aca="false">IF(OR(AND($A282="",$B282="",$C282="",$D282="",$E282="",$F282="",$G282="",$H282=""),NOT($S282="")),"",IF($B282=0,"n/a",INT(ROUND($N282/$B282*10000,6))/10000))</f>
        <v/>
      </c>
      <c r="P282" s="18" t="str">
        <f aca="false">IF(OR(AND($A282="",$B282="",$C282="",$D282="",$E282="",$F282="",$G282="",$H282=""),NOT($S282="")),"",ROUNDUP(ROUND($M282*10000/(10000-TargetH),9),2))</f>
        <v/>
      </c>
      <c r="Q282" s="18" t="str">
        <f aca="false">IF(OR(AND($A282="",$B282="",$C282="",$D282="",$E282="",$F282="",$G282="",$H282=""),NOT($S282="")),"",MAX(0,ROUND($P282-$B282,2)))</f>
        <v/>
      </c>
      <c r="R282" s="21" t="str">
        <f aca="false">IF(AND($A282="",$B282="",$C282="",$D282="",$E282="",$F282="",$G282="",$H282=""),"",IF(NOT($S282=""),"Check inputs",IF($B282=0,"No fee entered",IF($N282&lt;0,"Losing money on entered costs",IF(ROUND($N282*100,0)*10000&lt;TargetH*ROUND($B282*100,0),"Below your target","Meets your target")))))</f>
        <v/>
      </c>
      <c r="S282" s="22" t="str">
        <f aca="false">IF(AND($A282="",$B282="",$C282="",$D282="",$E282="",$F282="",$G282="",$H282=""),"",TRIM(IF($A282="","Customer/site label is missing. ","")&amp;IF($B282="","Monthly fee is missing. ",IF(NOT(ISNUMBER($B282)),"Monthly fee must be a number. ",IF($B282&lt;0,"Monthly fee can't be negative. ",IF(ROUND($B282,2)&lt;&gt;$B282,"Monthly fee: use up to 2 decimal places. ",IF($B282&gt;99999.99,"Monthly fee: use 99,999.99 or less. ","")))))&amp;IF($C282="","Visits per month is missing. ",IF(NOT(ISNUMBER($C282)),"Visits per month must be a number. ",IF($C282&lt;0,"Visits per month can't be negative. ",IF(ROUND($C282,3)&lt;&gt;$C282,"Visits per month: use up to 3 decimal places. ",IF($C282=0,"Visits per month must be more than 0. ",IF($C282&gt;31,"Visits per month: use 31 or less. ",""))))))&amp;IF($D282="","Service minutes per visit is missing. ",IF(NOT(ISNUMBER($D282)),"Service minutes per visit must be a number. ",IF($D282&lt;0,"Service minutes per visit can't be negative. ",IF(ROUND($D282,2)&lt;&gt;$D282,"Service minutes per visit: use up to 2 decimal places. ",IF($D282=0,"Service minutes per visit must be more than 0. ",IF($D282&gt;600,"Service minutes per visit: use 600 or less. ",""))))))&amp;IF($E282="","Drive minutes per visit is missing. ",IF(NOT(ISNUMBER($E282)),"Drive minutes per visit must be a number. ",IF($E282&lt;0,"Drive minutes per visit can't be negative. ",IF(ROUND($E282,2)&lt;&gt;$E282,"Drive minutes per visit: use up to 2 decimal places. ",IF($E282&gt;600,"Drive minutes per visit: use 600 or less. ","")))))&amp;IF($F282="","Drive miles per visit is missing. ",IF(NOT(ISNUMBER($F282)),"Drive miles per visit must be a number. ",IF($F282&lt;0,"Drive miles per visit can't be negative. ",IF(ROUND($F282,2)&lt;&gt;$F282,"Drive miles per visit: use up to 2 decimal places. ",IF($F282&gt;1000,"Drive miles per visit: use 1,000 or less. ","")))))&amp;IF($G282="","Chemicals per visit is missing. ",IF(NOT(ISNUMBER($G282)),"Chemicals per visit must be a number. ",IF($G282&lt;0,"Chemicals per visit can't be negative. ",IF(ROUND($G282,2)&lt;&gt;$G282,"Chemicals per visit: use up to 2 decimal places. ",IF($G282&gt;9999.99,"Chemicals per visit: use 9,999.99 or less. ","")))))&amp;IF($H282="","Other monthly costs is missing. ",IF(NOT(ISNUMBER($H282)),"Other monthly costs must be a number. ",IF($H282&lt;0,"Other monthly costs can't be negative. ",IF(ROUND($H282,2)&lt;&gt;$H282,"Other monthly costs: use up to 2 decimal places. ",IF($H282&gt;99999.99,"Other monthly costs: use 99,999.99 or less. ","")))))&amp;IF(SettingsOK,"","Settings incomplete.")))</f>
        <v/>
      </c>
      <c r="T282" s="23" t="str">
        <f aca="false">IF(AND($A282="",$B282="",$C282="",$D282="",$E282="",$F282="",$G282="",$H282=""),"",IF(Review!$B$5="Check inputs",IF($R282="Check inputs",ROW(),""),IF($R282="Check inputs",IF(Review!$B$5="All accounts",-2000000000000000+ROW(),""),IF(AND(Review!$B$5="Needs review",$R282="Meets your target"),"",IF($R282="No fee entered",-1000000000000000+ROW(),$N282/$B282+ROW()/1000000000)))))</f>
        <v/>
      </c>
    </row>
    <row r="283" customFormat="false" ht="15" hidden="false" customHeight="false" outlineLevel="0" collapsed="false">
      <c r="A283" s="14"/>
      <c r="B283" s="15"/>
      <c r="C283" s="16"/>
      <c r="D283" s="14"/>
      <c r="E283" s="14"/>
      <c r="F283" s="14"/>
      <c r="G283" s="15"/>
      <c r="H283" s="15"/>
      <c r="I283" s="17" t="str">
        <f aca="false">IF(OR(AND($A283="",$B283="",$C283="",$D283="",$E283="",$F283="",$G283="",$H283=""),NOT($S283="")),"",ROUND($C283*($D283+$E283)/60,4))</f>
        <v/>
      </c>
      <c r="J283" s="18" t="str">
        <f aca="false">IF(OR(AND($A283="",$B283="",$C283="",$D283="",$E283="",$F283="",$G283="",$H283=""),NOT($S283="")),"",ROUND(ROUND($C283*($D283+$E283)/60*$B$5,9),2))</f>
        <v/>
      </c>
      <c r="K283" s="18" t="str">
        <f aca="false">IF(OR(AND($A283="",$B283="",$C283="",$D283="",$E283="",$F283="",$G283="",$H283=""),NOT($S283="")),"",ROUND(ROUND($C283*$F283*$B$6,9),2))</f>
        <v/>
      </c>
      <c r="L283" s="18" t="str">
        <f aca="false">IF(OR(AND($A283="",$B283="",$C283="",$D283="",$E283="",$F283="",$G283="",$H283=""),NOT($S283="")),"",ROUND(ROUND($C283*$G283,9),2))</f>
        <v/>
      </c>
      <c r="M283" s="19" t="str">
        <f aca="false">IF(OR(AND($A283="",$B283="",$C283="",$D283="",$E283="",$F283="",$G283="",$H283=""),NOT($S283="")),"",ROUND($J283+$K283+$L283+$H283,2))</f>
        <v/>
      </c>
      <c r="N283" s="19" t="str">
        <f aca="false">IF(OR(AND($A283="",$B283="",$C283="",$D283="",$E283="",$F283="",$G283="",$H283=""),NOT($S283="")),"",ROUND($B283-$M283,2))</f>
        <v/>
      </c>
      <c r="O283" s="20" t="str">
        <f aca="false">IF(OR(AND($A283="",$B283="",$C283="",$D283="",$E283="",$F283="",$G283="",$H283=""),NOT($S283="")),"",IF($B283=0,"n/a",INT(ROUND($N283/$B283*10000,6))/10000))</f>
        <v/>
      </c>
      <c r="P283" s="18" t="str">
        <f aca="false">IF(OR(AND($A283="",$B283="",$C283="",$D283="",$E283="",$F283="",$G283="",$H283=""),NOT($S283="")),"",ROUNDUP(ROUND($M283*10000/(10000-TargetH),9),2))</f>
        <v/>
      </c>
      <c r="Q283" s="18" t="str">
        <f aca="false">IF(OR(AND($A283="",$B283="",$C283="",$D283="",$E283="",$F283="",$G283="",$H283=""),NOT($S283="")),"",MAX(0,ROUND($P283-$B283,2)))</f>
        <v/>
      </c>
      <c r="R283" s="21" t="str">
        <f aca="false">IF(AND($A283="",$B283="",$C283="",$D283="",$E283="",$F283="",$G283="",$H283=""),"",IF(NOT($S283=""),"Check inputs",IF($B283=0,"No fee entered",IF($N283&lt;0,"Losing money on entered costs",IF(ROUND($N283*100,0)*10000&lt;TargetH*ROUND($B283*100,0),"Below your target","Meets your target")))))</f>
        <v/>
      </c>
      <c r="S283" s="22" t="str">
        <f aca="false">IF(AND($A283="",$B283="",$C283="",$D283="",$E283="",$F283="",$G283="",$H283=""),"",TRIM(IF($A283="","Customer/site label is missing. ","")&amp;IF($B283="","Monthly fee is missing. ",IF(NOT(ISNUMBER($B283)),"Monthly fee must be a number. ",IF($B283&lt;0,"Monthly fee can't be negative. ",IF(ROUND($B283,2)&lt;&gt;$B283,"Monthly fee: use up to 2 decimal places. ",IF($B283&gt;99999.99,"Monthly fee: use 99,999.99 or less. ","")))))&amp;IF($C283="","Visits per month is missing. ",IF(NOT(ISNUMBER($C283)),"Visits per month must be a number. ",IF($C283&lt;0,"Visits per month can't be negative. ",IF(ROUND($C283,3)&lt;&gt;$C283,"Visits per month: use up to 3 decimal places. ",IF($C283=0,"Visits per month must be more than 0. ",IF($C283&gt;31,"Visits per month: use 31 or less. ",""))))))&amp;IF($D283="","Service minutes per visit is missing. ",IF(NOT(ISNUMBER($D283)),"Service minutes per visit must be a number. ",IF($D283&lt;0,"Service minutes per visit can't be negative. ",IF(ROUND($D283,2)&lt;&gt;$D283,"Service minutes per visit: use up to 2 decimal places. ",IF($D283=0,"Service minutes per visit must be more than 0. ",IF($D283&gt;600,"Service minutes per visit: use 600 or less. ",""))))))&amp;IF($E283="","Drive minutes per visit is missing. ",IF(NOT(ISNUMBER($E283)),"Drive minutes per visit must be a number. ",IF($E283&lt;0,"Drive minutes per visit can't be negative. ",IF(ROUND($E283,2)&lt;&gt;$E283,"Drive minutes per visit: use up to 2 decimal places. ",IF($E283&gt;600,"Drive minutes per visit: use 600 or less. ","")))))&amp;IF($F283="","Drive miles per visit is missing. ",IF(NOT(ISNUMBER($F283)),"Drive miles per visit must be a number. ",IF($F283&lt;0,"Drive miles per visit can't be negative. ",IF(ROUND($F283,2)&lt;&gt;$F283,"Drive miles per visit: use up to 2 decimal places. ",IF($F283&gt;1000,"Drive miles per visit: use 1,000 or less. ","")))))&amp;IF($G283="","Chemicals per visit is missing. ",IF(NOT(ISNUMBER($G283)),"Chemicals per visit must be a number. ",IF($G283&lt;0,"Chemicals per visit can't be negative. ",IF(ROUND($G283,2)&lt;&gt;$G283,"Chemicals per visit: use up to 2 decimal places. ",IF($G283&gt;9999.99,"Chemicals per visit: use 9,999.99 or less. ","")))))&amp;IF($H283="","Other monthly costs is missing. ",IF(NOT(ISNUMBER($H283)),"Other monthly costs must be a number. ",IF($H283&lt;0,"Other monthly costs can't be negative. ",IF(ROUND($H283,2)&lt;&gt;$H283,"Other monthly costs: use up to 2 decimal places. ",IF($H283&gt;99999.99,"Other monthly costs: use 99,999.99 or less. ","")))))&amp;IF(SettingsOK,"","Settings incomplete.")))</f>
        <v/>
      </c>
      <c r="T283" s="23" t="str">
        <f aca="false">IF(AND($A283="",$B283="",$C283="",$D283="",$E283="",$F283="",$G283="",$H283=""),"",IF(Review!$B$5="Check inputs",IF($R283="Check inputs",ROW(),""),IF($R283="Check inputs",IF(Review!$B$5="All accounts",-2000000000000000+ROW(),""),IF(AND(Review!$B$5="Needs review",$R283="Meets your target"),"",IF($R283="No fee entered",-1000000000000000+ROW(),$N283/$B283+ROW()/1000000000)))))</f>
        <v/>
      </c>
    </row>
    <row r="284" customFormat="false" ht="15" hidden="false" customHeight="false" outlineLevel="0" collapsed="false">
      <c r="A284" s="14"/>
      <c r="B284" s="15"/>
      <c r="C284" s="16"/>
      <c r="D284" s="14"/>
      <c r="E284" s="14"/>
      <c r="F284" s="14"/>
      <c r="G284" s="15"/>
      <c r="H284" s="15"/>
      <c r="I284" s="17" t="str">
        <f aca="false">IF(OR(AND($A284="",$B284="",$C284="",$D284="",$E284="",$F284="",$G284="",$H284=""),NOT($S284="")),"",ROUND($C284*($D284+$E284)/60,4))</f>
        <v/>
      </c>
      <c r="J284" s="18" t="str">
        <f aca="false">IF(OR(AND($A284="",$B284="",$C284="",$D284="",$E284="",$F284="",$G284="",$H284=""),NOT($S284="")),"",ROUND(ROUND($C284*($D284+$E284)/60*$B$5,9),2))</f>
        <v/>
      </c>
      <c r="K284" s="18" t="str">
        <f aca="false">IF(OR(AND($A284="",$B284="",$C284="",$D284="",$E284="",$F284="",$G284="",$H284=""),NOT($S284="")),"",ROUND(ROUND($C284*$F284*$B$6,9),2))</f>
        <v/>
      </c>
      <c r="L284" s="18" t="str">
        <f aca="false">IF(OR(AND($A284="",$B284="",$C284="",$D284="",$E284="",$F284="",$G284="",$H284=""),NOT($S284="")),"",ROUND(ROUND($C284*$G284,9),2))</f>
        <v/>
      </c>
      <c r="M284" s="19" t="str">
        <f aca="false">IF(OR(AND($A284="",$B284="",$C284="",$D284="",$E284="",$F284="",$G284="",$H284=""),NOT($S284="")),"",ROUND($J284+$K284+$L284+$H284,2))</f>
        <v/>
      </c>
      <c r="N284" s="19" t="str">
        <f aca="false">IF(OR(AND($A284="",$B284="",$C284="",$D284="",$E284="",$F284="",$G284="",$H284=""),NOT($S284="")),"",ROUND($B284-$M284,2))</f>
        <v/>
      </c>
      <c r="O284" s="20" t="str">
        <f aca="false">IF(OR(AND($A284="",$B284="",$C284="",$D284="",$E284="",$F284="",$G284="",$H284=""),NOT($S284="")),"",IF($B284=0,"n/a",INT(ROUND($N284/$B284*10000,6))/10000))</f>
        <v/>
      </c>
      <c r="P284" s="18" t="str">
        <f aca="false">IF(OR(AND($A284="",$B284="",$C284="",$D284="",$E284="",$F284="",$G284="",$H284=""),NOT($S284="")),"",ROUNDUP(ROUND($M284*10000/(10000-TargetH),9),2))</f>
        <v/>
      </c>
      <c r="Q284" s="18" t="str">
        <f aca="false">IF(OR(AND($A284="",$B284="",$C284="",$D284="",$E284="",$F284="",$G284="",$H284=""),NOT($S284="")),"",MAX(0,ROUND($P284-$B284,2)))</f>
        <v/>
      </c>
      <c r="R284" s="21" t="str">
        <f aca="false">IF(AND($A284="",$B284="",$C284="",$D284="",$E284="",$F284="",$G284="",$H284=""),"",IF(NOT($S284=""),"Check inputs",IF($B284=0,"No fee entered",IF($N284&lt;0,"Losing money on entered costs",IF(ROUND($N284*100,0)*10000&lt;TargetH*ROUND($B284*100,0),"Below your target","Meets your target")))))</f>
        <v/>
      </c>
      <c r="S284" s="22" t="str">
        <f aca="false">IF(AND($A284="",$B284="",$C284="",$D284="",$E284="",$F284="",$G284="",$H284=""),"",TRIM(IF($A284="","Customer/site label is missing. ","")&amp;IF($B284="","Monthly fee is missing. ",IF(NOT(ISNUMBER($B284)),"Monthly fee must be a number. ",IF($B284&lt;0,"Monthly fee can't be negative. ",IF(ROUND($B284,2)&lt;&gt;$B284,"Monthly fee: use up to 2 decimal places. ",IF($B284&gt;99999.99,"Monthly fee: use 99,999.99 or less. ","")))))&amp;IF($C284="","Visits per month is missing. ",IF(NOT(ISNUMBER($C284)),"Visits per month must be a number. ",IF($C284&lt;0,"Visits per month can't be negative. ",IF(ROUND($C284,3)&lt;&gt;$C284,"Visits per month: use up to 3 decimal places. ",IF($C284=0,"Visits per month must be more than 0. ",IF($C284&gt;31,"Visits per month: use 31 or less. ",""))))))&amp;IF($D284="","Service minutes per visit is missing. ",IF(NOT(ISNUMBER($D284)),"Service minutes per visit must be a number. ",IF($D284&lt;0,"Service minutes per visit can't be negative. ",IF(ROUND($D284,2)&lt;&gt;$D284,"Service minutes per visit: use up to 2 decimal places. ",IF($D284=0,"Service minutes per visit must be more than 0. ",IF($D284&gt;600,"Service minutes per visit: use 600 or less. ",""))))))&amp;IF($E284="","Drive minutes per visit is missing. ",IF(NOT(ISNUMBER($E284)),"Drive minutes per visit must be a number. ",IF($E284&lt;0,"Drive minutes per visit can't be negative. ",IF(ROUND($E284,2)&lt;&gt;$E284,"Drive minutes per visit: use up to 2 decimal places. ",IF($E284&gt;600,"Drive minutes per visit: use 600 or less. ","")))))&amp;IF($F284="","Drive miles per visit is missing. ",IF(NOT(ISNUMBER($F284)),"Drive miles per visit must be a number. ",IF($F284&lt;0,"Drive miles per visit can't be negative. ",IF(ROUND($F284,2)&lt;&gt;$F284,"Drive miles per visit: use up to 2 decimal places. ",IF($F284&gt;1000,"Drive miles per visit: use 1,000 or less. ","")))))&amp;IF($G284="","Chemicals per visit is missing. ",IF(NOT(ISNUMBER($G284)),"Chemicals per visit must be a number. ",IF($G284&lt;0,"Chemicals per visit can't be negative. ",IF(ROUND($G284,2)&lt;&gt;$G284,"Chemicals per visit: use up to 2 decimal places. ",IF($G284&gt;9999.99,"Chemicals per visit: use 9,999.99 or less. ","")))))&amp;IF($H284="","Other monthly costs is missing. ",IF(NOT(ISNUMBER($H284)),"Other monthly costs must be a number. ",IF($H284&lt;0,"Other monthly costs can't be negative. ",IF(ROUND($H284,2)&lt;&gt;$H284,"Other monthly costs: use up to 2 decimal places. ",IF($H284&gt;99999.99,"Other monthly costs: use 99,999.99 or less. ","")))))&amp;IF(SettingsOK,"","Settings incomplete.")))</f>
        <v/>
      </c>
      <c r="T284" s="23" t="str">
        <f aca="false">IF(AND($A284="",$B284="",$C284="",$D284="",$E284="",$F284="",$G284="",$H284=""),"",IF(Review!$B$5="Check inputs",IF($R284="Check inputs",ROW(),""),IF($R284="Check inputs",IF(Review!$B$5="All accounts",-2000000000000000+ROW(),""),IF(AND(Review!$B$5="Needs review",$R284="Meets your target"),"",IF($R284="No fee entered",-1000000000000000+ROW(),$N284/$B284+ROW()/1000000000)))))</f>
        <v/>
      </c>
    </row>
    <row r="285" customFormat="false" ht="15" hidden="false" customHeight="false" outlineLevel="0" collapsed="false">
      <c r="A285" s="14"/>
      <c r="B285" s="15"/>
      <c r="C285" s="16"/>
      <c r="D285" s="14"/>
      <c r="E285" s="14"/>
      <c r="F285" s="14"/>
      <c r="G285" s="15"/>
      <c r="H285" s="15"/>
      <c r="I285" s="17" t="str">
        <f aca="false">IF(OR(AND($A285="",$B285="",$C285="",$D285="",$E285="",$F285="",$G285="",$H285=""),NOT($S285="")),"",ROUND($C285*($D285+$E285)/60,4))</f>
        <v/>
      </c>
      <c r="J285" s="18" t="str">
        <f aca="false">IF(OR(AND($A285="",$B285="",$C285="",$D285="",$E285="",$F285="",$G285="",$H285=""),NOT($S285="")),"",ROUND(ROUND($C285*($D285+$E285)/60*$B$5,9),2))</f>
        <v/>
      </c>
      <c r="K285" s="18" t="str">
        <f aca="false">IF(OR(AND($A285="",$B285="",$C285="",$D285="",$E285="",$F285="",$G285="",$H285=""),NOT($S285="")),"",ROUND(ROUND($C285*$F285*$B$6,9),2))</f>
        <v/>
      </c>
      <c r="L285" s="18" t="str">
        <f aca="false">IF(OR(AND($A285="",$B285="",$C285="",$D285="",$E285="",$F285="",$G285="",$H285=""),NOT($S285="")),"",ROUND(ROUND($C285*$G285,9),2))</f>
        <v/>
      </c>
      <c r="M285" s="19" t="str">
        <f aca="false">IF(OR(AND($A285="",$B285="",$C285="",$D285="",$E285="",$F285="",$G285="",$H285=""),NOT($S285="")),"",ROUND($J285+$K285+$L285+$H285,2))</f>
        <v/>
      </c>
      <c r="N285" s="19" t="str">
        <f aca="false">IF(OR(AND($A285="",$B285="",$C285="",$D285="",$E285="",$F285="",$G285="",$H285=""),NOT($S285="")),"",ROUND($B285-$M285,2))</f>
        <v/>
      </c>
      <c r="O285" s="20" t="str">
        <f aca="false">IF(OR(AND($A285="",$B285="",$C285="",$D285="",$E285="",$F285="",$G285="",$H285=""),NOT($S285="")),"",IF($B285=0,"n/a",INT(ROUND($N285/$B285*10000,6))/10000))</f>
        <v/>
      </c>
      <c r="P285" s="18" t="str">
        <f aca="false">IF(OR(AND($A285="",$B285="",$C285="",$D285="",$E285="",$F285="",$G285="",$H285=""),NOT($S285="")),"",ROUNDUP(ROUND($M285*10000/(10000-TargetH),9),2))</f>
        <v/>
      </c>
      <c r="Q285" s="18" t="str">
        <f aca="false">IF(OR(AND($A285="",$B285="",$C285="",$D285="",$E285="",$F285="",$G285="",$H285=""),NOT($S285="")),"",MAX(0,ROUND($P285-$B285,2)))</f>
        <v/>
      </c>
      <c r="R285" s="21" t="str">
        <f aca="false">IF(AND($A285="",$B285="",$C285="",$D285="",$E285="",$F285="",$G285="",$H285=""),"",IF(NOT($S285=""),"Check inputs",IF($B285=0,"No fee entered",IF($N285&lt;0,"Losing money on entered costs",IF(ROUND($N285*100,0)*10000&lt;TargetH*ROUND($B285*100,0),"Below your target","Meets your target")))))</f>
        <v/>
      </c>
      <c r="S285" s="22" t="str">
        <f aca="false">IF(AND($A285="",$B285="",$C285="",$D285="",$E285="",$F285="",$G285="",$H285=""),"",TRIM(IF($A285="","Customer/site label is missing. ","")&amp;IF($B285="","Monthly fee is missing. ",IF(NOT(ISNUMBER($B285)),"Monthly fee must be a number. ",IF($B285&lt;0,"Monthly fee can't be negative. ",IF(ROUND($B285,2)&lt;&gt;$B285,"Monthly fee: use up to 2 decimal places. ",IF($B285&gt;99999.99,"Monthly fee: use 99,999.99 or less. ","")))))&amp;IF($C285="","Visits per month is missing. ",IF(NOT(ISNUMBER($C285)),"Visits per month must be a number. ",IF($C285&lt;0,"Visits per month can't be negative. ",IF(ROUND($C285,3)&lt;&gt;$C285,"Visits per month: use up to 3 decimal places. ",IF($C285=0,"Visits per month must be more than 0. ",IF($C285&gt;31,"Visits per month: use 31 or less. ",""))))))&amp;IF($D285="","Service minutes per visit is missing. ",IF(NOT(ISNUMBER($D285)),"Service minutes per visit must be a number. ",IF($D285&lt;0,"Service minutes per visit can't be negative. ",IF(ROUND($D285,2)&lt;&gt;$D285,"Service minutes per visit: use up to 2 decimal places. ",IF($D285=0,"Service minutes per visit must be more than 0. ",IF($D285&gt;600,"Service minutes per visit: use 600 or less. ",""))))))&amp;IF($E285="","Drive minutes per visit is missing. ",IF(NOT(ISNUMBER($E285)),"Drive minutes per visit must be a number. ",IF($E285&lt;0,"Drive minutes per visit can't be negative. ",IF(ROUND($E285,2)&lt;&gt;$E285,"Drive minutes per visit: use up to 2 decimal places. ",IF($E285&gt;600,"Drive minutes per visit: use 600 or less. ","")))))&amp;IF($F285="","Drive miles per visit is missing. ",IF(NOT(ISNUMBER($F285)),"Drive miles per visit must be a number. ",IF($F285&lt;0,"Drive miles per visit can't be negative. ",IF(ROUND($F285,2)&lt;&gt;$F285,"Drive miles per visit: use up to 2 decimal places. ",IF($F285&gt;1000,"Drive miles per visit: use 1,000 or less. ","")))))&amp;IF($G285="","Chemicals per visit is missing. ",IF(NOT(ISNUMBER($G285)),"Chemicals per visit must be a number. ",IF($G285&lt;0,"Chemicals per visit can't be negative. ",IF(ROUND($G285,2)&lt;&gt;$G285,"Chemicals per visit: use up to 2 decimal places. ",IF($G285&gt;9999.99,"Chemicals per visit: use 9,999.99 or less. ","")))))&amp;IF($H285="","Other monthly costs is missing. ",IF(NOT(ISNUMBER($H285)),"Other monthly costs must be a number. ",IF($H285&lt;0,"Other monthly costs can't be negative. ",IF(ROUND($H285,2)&lt;&gt;$H285,"Other monthly costs: use up to 2 decimal places. ",IF($H285&gt;99999.99,"Other monthly costs: use 99,999.99 or less. ","")))))&amp;IF(SettingsOK,"","Settings incomplete.")))</f>
        <v/>
      </c>
      <c r="T285" s="23" t="str">
        <f aca="false">IF(AND($A285="",$B285="",$C285="",$D285="",$E285="",$F285="",$G285="",$H285=""),"",IF(Review!$B$5="Check inputs",IF($R285="Check inputs",ROW(),""),IF($R285="Check inputs",IF(Review!$B$5="All accounts",-2000000000000000+ROW(),""),IF(AND(Review!$B$5="Needs review",$R285="Meets your target"),"",IF($R285="No fee entered",-1000000000000000+ROW(),$N285/$B285+ROW()/1000000000)))))</f>
        <v/>
      </c>
    </row>
    <row r="286" customFormat="false" ht="15" hidden="false" customHeight="false" outlineLevel="0" collapsed="false">
      <c r="A286" s="14"/>
      <c r="B286" s="15"/>
      <c r="C286" s="16"/>
      <c r="D286" s="14"/>
      <c r="E286" s="14"/>
      <c r="F286" s="14"/>
      <c r="G286" s="15"/>
      <c r="H286" s="15"/>
      <c r="I286" s="17" t="str">
        <f aca="false">IF(OR(AND($A286="",$B286="",$C286="",$D286="",$E286="",$F286="",$G286="",$H286=""),NOT($S286="")),"",ROUND($C286*($D286+$E286)/60,4))</f>
        <v/>
      </c>
      <c r="J286" s="18" t="str">
        <f aca="false">IF(OR(AND($A286="",$B286="",$C286="",$D286="",$E286="",$F286="",$G286="",$H286=""),NOT($S286="")),"",ROUND(ROUND($C286*($D286+$E286)/60*$B$5,9),2))</f>
        <v/>
      </c>
      <c r="K286" s="18" t="str">
        <f aca="false">IF(OR(AND($A286="",$B286="",$C286="",$D286="",$E286="",$F286="",$G286="",$H286=""),NOT($S286="")),"",ROUND(ROUND($C286*$F286*$B$6,9),2))</f>
        <v/>
      </c>
      <c r="L286" s="18" t="str">
        <f aca="false">IF(OR(AND($A286="",$B286="",$C286="",$D286="",$E286="",$F286="",$G286="",$H286=""),NOT($S286="")),"",ROUND(ROUND($C286*$G286,9),2))</f>
        <v/>
      </c>
      <c r="M286" s="19" t="str">
        <f aca="false">IF(OR(AND($A286="",$B286="",$C286="",$D286="",$E286="",$F286="",$G286="",$H286=""),NOT($S286="")),"",ROUND($J286+$K286+$L286+$H286,2))</f>
        <v/>
      </c>
      <c r="N286" s="19" t="str">
        <f aca="false">IF(OR(AND($A286="",$B286="",$C286="",$D286="",$E286="",$F286="",$G286="",$H286=""),NOT($S286="")),"",ROUND($B286-$M286,2))</f>
        <v/>
      </c>
      <c r="O286" s="20" t="str">
        <f aca="false">IF(OR(AND($A286="",$B286="",$C286="",$D286="",$E286="",$F286="",$G286="",$H286=""),NOT($S286="")),"",IF($B286=0,"n/a",INT(ROUND($N286/$B286*10000,6))/10000))</f>
        <v/>
      </c>
      <c r="P286" s="18" t="str">
        <f aca="false">IF(OR(AND($A286="",$B286="",$C286="",$D286="",$E286="",$F286="",$G286="",$H286=""),NOT($S286="")),"",ROUNDUP(ROUND($M286*10000/(10000-TargetH),9),2))</f>
        <v/>
      </c>
      <c r="Q286" s="18" t="str">
        <f aca="false">IF(OR(AND($A286="",$B286="",$C286="",$D286="",$E286="",$F286="",$G286="",$H286=""),NOT($S286="")),"",MAX(0,ROUND($P286-$B286,2)))</f>
        <v/>
      </c>
      <c r="R286" s="21" t="str">
        <f aca="false">IF(AND($A286="",$B286="",$C286="",$D286="",$E286="",$F286="",$G286="",$H286=""),"",IF(NOT($S286=""),"Check inputs",IF($B286=0,"No fee entered",IF($N286&lt;0,"Losing money on entered costs",IF(ROUND($N286*100,0)*10000&lt;TargetH*ROUND($B286*100,0),"Below your target","Meets your target")))))</f>
        <v/>
      </c>
      <c r="S286" s="22" t="str">
        <f aca="false">IF(AND($A286="",$B286="",$C286="",$D286="",$E286="",$F286="",$G286="",$H286=""),"",TRIM(IF($A286="","Customer/site label is missing. ","")&amp;IF($B286="","Monthly fee is missing. ",IF(NOT(ISNUMBER($B286)),"Monthly fee must be a number. ",IF($B286&lt;0,"Monthly fee can't be negative. ",IF(ROUND($B286,2)&lt;&gt;$B286,"Monthly fee: use up to 2 decimal places. ",IF($B286&gt;99999.99,"Monthly fee: use 99,999.99 or less. ","")))))&amp;IF($C286="","Visits per month is missing. ",IF(NOT(ISNUMBER($C286)),"Visits per month must be a number. ",IF($C286&lt;0,"Visits per month can't be negative. ",IF(ROUND($C286,3)&lt;&gt;$C286,"Visits per month: use up to 3 decimal places. ",IF($C286=0,"Visits per month must be more than 0. ",IF($C286&gt;31,"Visits per month: use 31 or less. ",""))))))&amp;IF($D286="","Service minutes per visit is missing. ",IF(NOT(ISNUMBER($D286)),"Service minutes per visit must be a number. ",IF($D286&lt;0,"Service minutes per visit can't be negative. ",IF(ROUND($D286,2)&lt;&gt;$D286,"Service minutes per visit: use up to 2 decimal places. ",IF($D286=0,"Service minutes per visit must be more than 0. ",IF($D286&gt;600,"Service minutes per visit: use 600 or less. ",""))))))&amp;IF($E286="","Drive minutes per visit is missing. ",IF(NOT(ISNUMBER($E286)),"Drive minutes per visit must be a number. ",IF($E286&lt;0,"Drive minutes per visit can't be negative. ",IF(ROUND($E286,2)&lt;&gt;$E286,"Drive minutes per visit: use up to 2 decimal places. ",IF($E286&gt;600,"Drive minutes per visit: use 600 or less. ","")))))&amp;IF($F286="","Drive miles per visit is missing. ",IF(NOT(ISNUMBER($F286)),"Drive miles per visit must be a number. ",IF($F286&lt;0,"Drive miles per visit can't be negative. ",IF(ROUND($F286,2)&lt;&gt;$F286,"Drive miles per visit: use up to 2 decimal places. ",IF($F286&gt;1000,"Drive miles per visit: use 1,000 or less. ","")))))&amp;IF($G286="","Chemicals per visit is missing. ",IF(NOT(ISNUMBER($G286)),"Chemicals per visit must be a number. ",IF($G286&lt;0,"Chemicals per visit can't be negative. ",IF(ROUND($G286,2)&lt;&gt;$G286,"Chemicals per visit: use up to 2 decimal places. ",IF($G286&gt;9999.99,"Chemicals per visit: use 9,999.99 or less. ","")))))&amp;IF($H286="","Other monthly costs is missing. ",IF(NOT(ISNUMBER($H286)),"Other monthly costs must be a number. ",IF($H286&lt;0,"Other monthly costs can't be negative. ",IF(ROUND($H286,2)&lt;&gt;$H286,"Other monthly costs: use up to 2 decimal places. ",IF($H286&gt;99999.99,"Other monthly costs: use 99,999.99 or less. ","")))))&amp;IF(SettingsOK,"","Settings incomplete.")))</f>
        <v/>
      </c>
      <c r="T286" s="23" t="str">
        <f aca="false">IF(AND($A286="",$B286="",$C286="",$D286="",$E286="",$F286="",$G286="",$H286=""),"",IF(Review!$B$5="Check inputs",IF($R286="Check inputs",ROW(),""),IF($R286="Check inputs",IF(Review!$B$5="All accounts",-2000000000000000+ROW(),""),IF(AND(Review!$B$5="Needs review",$R286="Meets your target"),"",IF($R286="No fee entered",-1000000000000000+ROW(),$N286/$B286+ROW()/1000000000)))))</f>
        <v/>
      </c>
    </row>
    <row r="287" customFormat="false" ht="15" hidden="false" customHeight="false" outlineLevel="0" collapsed="false">
      <c r="A287" s="14"/>
      <c r="B287" s="15"/>
      <c r="C287" s="16"/>
      <c r="D287" s="14"/>
      <c r="E287" s="14"/>
      <c r="F287" s="14"/>
      <c r="G287" s="15"/>
      <c r="H287" s="15"/>
      <c r="I287" s="17" t="str">
        <f aca="false">IF(OR(AND($A287="",$B287="",$C287="",$D287="",$E287="",$F287="",$G287="",$H287=""),NOT($S287="")),"",ROUND($C287*($D287+$E287)/60,4))</f>
        <v/>
      </c>
      <c r="J287" s="18" t="str">
        <f aca="false">IF(OR(AND($A287="",$B287="",$C287="",$D287="",$E287="",$F287="",$G287="",$H287=""),NOT($S287="")),"",ROUND(ROUND($C287*($D287+$E287)/60*$B$5,9),2))</f>
        <v/>
      </c>
      <c r="K287" s="18" t="str">
        <f aca="false">IF(OR(AND($A287="",$B287="",$C287="",$D287="",$E287="",$F287="",$G287="",$H287=""),NOT($S287="")),"",ROUND(ROUND($C287*$F287*$B$6,9),2))</f>
        <v/>
      </c>
      <c r="L287" s="18" t="str">
        <f aca="false">IF(OR(AND($A287="",$B287="",$C287="",$D287="",$E287="",$F287="",$G287="",$H287=""),NOT($S287="")),"",ROUND(ROUND($C287*$G287,9),2))</f>
        <v/>
      </c>
      <c r="M287" s="19" t="str">
        <f aca="false">IF(OR(AND($A287="",$B287="",$C287="",$D287="",$E287="",$F287="",$G287="",$H287=""),NOT($S287="")),"",ROUND($J287+$K287+$L287+$H287,2))</f>
        <v/>
      </c>
      <c r="N287" s="19" t="str">
        <f aca="false">IF(OR(AND($A287="",$B287="",$C287="",$D287="",$E287="",$F287="",$G287="",$H287=""),NOT($S287="")),"",ROUND($B287-$M287,2))</f>
        <v/>
      </c>
      <c r="O287" s="20" t="str">
        <f aca="false">IF(OR(AND($A287="",$B287="",$C287="",$D287="",$E287="",$F287="",$G287="",$H287=""),NOT($S287="")),"",IF($B287=0,"n/a",INT(ROUND($N287/$B287*10000,6))/10000))</f>
        <v/>
      </c>
      <c r="P287" s="18" t="str">
        <f aca="false">IF(OR(AND($A287="",$B287="",$C287="",$D287="",$E287="",$F287="",$G287="",$H287=""),NOT($S287="")),"",ROUNDUP(ROUND($M287*10000/(10000-TargetH),9),2))</f>
        <v/>
      </c>
      <c r="Q287" s="18" t="str">
        <f aca="false">IF(OR(AND($A287="",$B287="",$C287="",$D287="",$E287="",$F287="",$G287="",$H287=""),NOT($S287="")),"",MAX(0,ROUND($P287-$B287,2)))</f>
        <v/>
      </c>
      <c r="R287" s="21" t="str">
        <f aca="false">IF(AND($A287="",$B287="",$C287="",$D287="",$E287="",$F287="",$G287="",$H287=""),"",IF(NOT($S287=""),"Check inputs",IF($B287=0,"No fee entered",IF($N287&lt;0,"Losing money on entered costs",IF(ROUND($N287*100,0)*10000&lt;TargetH*ROUND($B287*100,0),"Below your target","Meets your target")))))</f>
        <v/>
      </c>
      <c r="S287" s="22" t="str">
        <f aca="false">IF(AND($A287="",$B287="",$C287="",$D287="",$E287="",$F287="",$G287="",$H287=""),"",TRIM(IF($A287="","Customer/site label is missing. ","")&amp;IF($B287="","Monthly fee is missing. ",IF(NOT(ISNUMBER($B287)),"Monthly fee must be a number. ",IF($B287&lt;0,"Monthly fee can't be negative. ",IF(ROUND($B287,2)&lt;&gt;$B287,"Monthly fee: use up to 2 decimal places. ",IF($B287&gt;99999.99,"Monthly fee: use 99,999.99 or less. ","")))))&amp;IF($C287="","Visits per month is missing. ",IF(NOT(ISNUMBER($C287)),"Visits per month must be a number. ",IF($C287&lt;0,"Visits per month can't be negative. ",IF(ROUND($C287,3)&lt;&gt;$C287,"Visits per month: use up to 3 decimal places. ",IF($C287=0,"Visits per month must be more than 0. ",IF($C287&gt;31,"Visits per month: use 31 or less. ",""))))))&amp;IF($D287="","Service minutes per visit is missing. ",IF(NOT(ISNUMBER($D287)),"Service minutes per visit must be a number. ",IF($D287&lt;0,"Service minutes per visit can't be negative. ",IF(ROUND($D287,2)&lt;&gt;$D287,"Service minutes per visit: use up to 2 decimal places. ",IF($D287=0,"Service minutes per visit must be more than 0. ",IF($D287&gt;600,"Service minutes per visit: use 600 or less. ",""))))))&amp;IF($E287="","Drive minutes per visit is missing. ",IF(NOT(ISNUMBER($E287)),"Drive minutes per visit must be a number. ",IF($E287&lt;0,"Drive minutes per visit can't be negative. ",IF(ROUND($E287,2)&lt;&gt;$E287,"Drive minutes per visit: use up to 2 decimal places. ",IF($E287&gt;600,"Drive minutes per visit: use 600 or less. ","")))))&amp;IF($F287="","Drive miles per visit is missing. ",IF(NOT(ISNUMBER($F287)),"Drive miles per visit must be a number. ",IF($F287&lt;0,"Drive miles per visit can't be negative. ",IF(ROUND($F287,2)&lt;&gt;$F287,"Drive miles per visit: use up to 2 decimal places. ",IF($F287&gt;1000,"Drive miles per visit: use 1,000 or less. ","")))))&amp;IF($G287="","Chemicals per visit is missing. ",IF(NOT(ISNUMBER($G287)),"Chemicals per visit must be a number. ",IF($G287&lt;0,"Chemicals per visit can't be negative. ",IF(ROUND($G287,2)&lt;&gt;$G287,"Chemicals per visit: use up to 2 decimal places. ",IF($G287&gt;9999.99,"Chemicals per visit: use 9,999.99 or less. ","")))))&amp;IF($H287="","Other monthly costs is missing. ",IF(NOT(ISNUMBER($H287)),"Other monthly costs must be a number. ",IF($H287&lt;0,"Other monthly costs can't be negative. ",IF(ROUND($H287,2)&lt;&gt;$H287,"Other monthly costs: use up to 2 decimal places. ",IF($H287&gt;99999.99,"Other monthly costs: use 99,999.99 or less. ","")))))&amp;IF(SettingsOK,"","Settings incomplete.")))</f>
        <v/>
      </c>
      <c r="T287" s="23" t="str">
        <f aca="false">IF(AND($A287="",$B287="",$C287="",$D287="",$E287="",$F287="",$G287="",$H287=""),"",IF(Review!$B$5="Check inputs",IF($R287="Check inputs",ROW(),""),IF($R287="Check inputs",IF(Review!$B$5="All accounts",-2000000000000000+ROW(),""),IF(AND(Review!$B$5="Needs review",$R287="Meets your target"),"",IF($R287="No fee entered",-1000000000000000+ROW(),$N287/$B287+ROW()/1000000000)))))</f>
        <v/>
      </c>
    </row>
    <row r="288" customFormat="false" ht="15" hidden="false" customHeight="false" outlineLevel="0" collapsed="false">
      <c r="A288" s="14"/>
      <c r="B288" s="15"/>
      <c r="C288" s="16"/>
      <c r="D288" s="14"/>
      <c r="E288" s="14"/>
      <c r="F288" s="14"/>
      <c r="G288" s="15"/>
      <c r="H288" s="15"/>
      <c r="I288" s="17" t="str">
        <f aca="false">IF(OR(AND($A288="",$B288="",$C288="",$D288="",$E288="",$F288="",$G288="",$H288=""),NOT($S288="")),"",ROUND($C288*($D288+$E288)/60,4))</f>
        <v/>
      </c>
      <c r="J288" s="18" t="str">
        <f aca="false">IF(OR(AND($A288="",$B288="",$C288="",$D288="",$E288="",$F288="",$G288="",$H288=""),NOT($S288="")),"",ROUND(ROUND($C288*($D288+$E288)/60*$B$5,9),2))</f>
        <v/>
      </c>
      <c r="K288" s="18" t="str">
        <f aca="false">IF(OR(AND($A288="",$B288="",$C288="",$D288="",$E288="",$F288="",$G288="",$H288=""),NOT($S288="")),"",ROUND(ROUND($C288*$F288*$B$6,9),2))</f>
        <v/>
      </c>
      <c r="L288" s="18" t="str">
        <f aca="false">IF(OR(AND($A288="",$B288="",$C288="",$D288="",$E288="",$F288="",$G288="",$H288=""),NOT($S288="")),"",ROUND(ROUND($C288*$G288,9),2))</f>
        <v/>
      </c>
      <c r="M288" s="19" t="str">
        <f aca="false">IF(OR(AND($A288="",$B288="",$C288="",$D288="",$E288="",$F288="",$G288="",$H288=""),NOT($S288="")),"",ROUND($J288+$K288+$L288+$H288,2))</f>
        <v/>
      </c>
      <c r="N288" s="19" t="str">
        <f aca="false">IF(OR(AND($A288="",$B288="",$C288="",$D288="",$E288="",$F288="",$G288="",$H288=""),NOT($S288="")),"",ROUND($B288-$M288,2))</f>
        <v/>
      </c>
      <c r="O288" s="20" t="str">
        <f aca="false">IF(OR(AND($A288="",$B288="",$C288="",$D288="",$E288="",$F288="",$G288="",$H288=""),NOT($S288="")),"",IF($B288=0,"n/a",INT(ROUND($N288/$B288*10000,6))/10000))</f>
        <v/>
      </c>
      <c r="P288" s="18" t="str">
        <f aca="false">IF(OR(AND($A288="",$B288="",$C288="",$D288="",$E288="",$F288="",$G288="",$H288=""),NOT($S288="")),"",ROUNDUP(ROUND($M288*10000/(10000-TargetH),9),2))</f>
        <v/>
      </c>
      <c r="Q288" s="18" t="str">
        <f aca="false">IF(OR(AND($A288="",$B288="",$C288="",$D288="",$E288="",$F288="",$G288="",$H288=""),NOT($S288="")),"",MAX(0,ROUND($P288-$B288,2)))</f>
        <v/>
      </c>
      <c r="R288" s="21" t="str">
        <f aca="false">IF(AND($A288="",$B288="",$C288="",$D288="",$E288="",$F288="",$G288="",$H288=""),"",IF(NOT($S288=""),"Check inputs",IF($B288=0,"No fee entered",IF($N288&lt;0,"Losing money on entered costs",IF(ROUND($N288*100,0)*10000&lt;TargetH*ROUND($B288*100,0),"Below your target","Meets your target")))))</f>
        <v/>
      </c>
      <c r="S288" s="22" t="str">
        <f aca="false">IF(AND($A288="",$B288="",$C288="",$D288="",$E288="",$F288="",$G288="",$H288=""),"",TRIM(IF($A288="","Customer/site label is missing. ","")&amp;IF($B288="","Monthly fee is missing. ",IF(NOT(ISNUMBER($B288)),"Monthly fee must be a number. ",IF($B288&lt;0,"Monthly fee can't be negative. ",IF(ROUND($B288,2)&lt;&gt;$B288,"Monthly fee: use up to 2 decimal places. ",IF($B288&gt;99999.99,"Monthly fee: use 99,999.99 or less. ","")))))&amp;IF($C288="","Visits per month is missing. ",IF(NOT(ISNUMBER($C288)),"Visits per month must be a number. ",IF($C288&lt;0,"Visits per month can't be negative. ",IF(ROUND($C288,3)&lt;&gt;$C288,"Visits per month: use up to 3 decimal places. ",IF($C288=0,"Visits per month must be more than 0. ",IF($C288&gt;31,"Visits per month: use 31 or less. ",""))))))&amp;IF($D288="","Service minutes per visit is missing. ",IF(NOT(ISNUMBER($D288)),"Service minutes per visit must be a number. ",IF($D288&lt;0,"Service minutes per visit can't be negative. ",IF(ROUND($D288,2)&lt;&gt;$D288,"Service minutes per visit: use up to 2 decimal places. ",IF($D288=0,"Service minutes per visit must be more than 0. ",IF($D288&gt;600,"Service minutes per visit: use 600 or less. ",""))))))&amp;IF($E288="","Drive minutes per visit is missing. ",IF(NOT(ISNUMBER($E288)),"Drive minutes per visit must be a number. ",IF($E288&lt;0,"Drive minutes per visit can't be negative. ",IF(ROUND($E288,2)&lt;&gt;$E288,"Drive minutes per visit: use up to 2 decimal places. ",IF($E288&gt;600,"Drive minutes per visit: use 600 or less. ","")))))&amp;IF($F288="","Drive miles per visit is missing. ",IF(NOT(ISNUMBER($F288)),"Drive miles per visit must be a number. ",IF($F288&lt;0,"Drive miles per visit can't be negative. ",IF(ROUND($F288,2)&lt;&gt;$F288,"Drive miles per visit: use up to 2 decimal places. ",IF($F288&gt;1000,"Drive miles per visit: use 1,000 or less. ","")))))&amp;IF($G288="","Chemicals per visit is missing. ",IF(NOT(ISNUMBER($G288)),"Chemicals per visit must be a number. ",IF($G288&lt;0,"Chemicals per visit can't be negative. ",IF(ROUND($G288,2)&lt;&gt;$G288,"Chemicals per visit: use up to 2 decimal places. ",IF($G288&gt;9999.99,"Chemicals per visit: use 9,999.99 or less. ","")))))&amp;IF($H288="","Other monthly costs is missing. ",IF(NOT(ISNUMBER($H288)),"Other monthly costs must be a number. ",IF($H288&lt;0,"Other monthly costs can't be negative. ",IF(ROUND($H288,2)&lt;&gt;$H288,"Other monthly costs: use up to 2 decimal places. ",IF($H288&gt;99999.99,"Other monthly costs: use 99,999.99 or less. ","")))))&amp;IF(SettingsOK,"","Settings incomplete.")))</f>
        <v/>
      </c>
      <c r="T288" s="23" t="str">
        <f aca="false">IF(AND($A288="",$B288="",$C288="",$D288="",$E288="",$F288="",$G288="",$H288=""),"",IF(Review!$B$5="Check inputs",IF($R288="Check inputs",ROW(),""),IF($R288="Check inputs",IF(Review!$B$5="All accounts",-2000000000000000+ROW(),""),IF(AND(Review!$B$5="Needs review",$R288="Meets your target"),"",IF($R288="No fee entered",-1000000000000000+ROW(),$N288/$B288+ROW()/1000000000)))))</f>
        <v/>
      </c>
    </row>
    <row r="289" customFormat="false" ht="15" hidden="false" customHeight="false" outlineLevel="0" collapsed="false">
      <c r="A289" s="14"/>
      <c r="B289" s="15"/>
      <c r="C289" s="16"/>
      <c r="D289" s="14"/>
      <c r="E289" s="14"/>
      <c r="F289" s="14"/>
      <c r="G289" s="15"/>
      <c r="H289" s="15"/>
      <c r="I289" s="17" t="str">
        <f aca="false">IF(OR(AND($A289="",$B289="",$C289="",$D289="",$E289="",$F289="",$G289="",$H289=""),NOT($S289="")),"",ROUND($C289*($D289+$E289)/60,4))</f>
        <v/>
      </c>
      <c r="J289" s="18" t="str">
        <f aca="false">IF(OR(AND($A289="",$B289="",$C289="",$D289="",$E289="",$F289="",$G289="",$H289=""),NOT($S289="")),"",ROUND(ROUND($C289*($D289+$E289)/60*$B$5,9),2))</f>
        <v/>
      </c>
      <c r="K289" s="18" t="str">
        <f aca="false">IF(OR(AND($A289="",$B289="",$C289="",$D289="",$E289="",$F289="",$G289="",$H289=""),NOT($S289="")),"",ROUND(ROUND($C289*$F289*$B$6,9),2))</f>
        <v/>
      </c>
      <c r="L289" s="18" t="str">
        <f aca="false">IF(OR(AND($A289="",$B289="",$C289="",$D289="",$E289="",$F289="",$G289="",$H289=""),NOT($S289="")),"",ROUND(ROUND($C289*$G289,9),2))</f>
        <v/>
      </c>
      <c r="M289" s="19" t="str">
        <f aca="false">IF(OR(AND($A289="",$B289="",$C289="",$D289="",$E289="",$F289="",$G289="",$H289=""),NOT($S289="")),"",ROUND($J289+$K289+$L289+$H289,2))</f>
        <v/>
      </c>
      <c r="N289" s="19" t="str">
        <f aca="false">IF(OR(AND($A289="",$B289="",$C289="",$D289="",$E289="",$F289="",$G289="",$H289=""),NOT($S289="")),"",ROUND($B289-$M289,2))</f>
        <v/>
      </c>
      <c r="O289" s="20" t="str">
        <f aca="false">IF(OR(AND($A289="",$B289="",$C289="",$D289="",$E289="",$F289="",$G289="",$H289=""),NOT($S289="")),"",IF($B289=0,"n/a",INT(ROUND($N289/$B289*10000,6))/10000))</f>
        <v/>
      </c>
      <c r="P289" s="18" t="str">
        <f aca="false">IF(OR(AND($A289="",$B289="",$C289="",$D289="",$E289="",$F289="",$G289="",$H289=""),NOT($S289="")),"",ROUNDUP(ROUND($M289*10000/(10000-TargetH),9),2))</f>
        <v/>
      </c>
      <c r="Q289" s="18" t="str">
        <f aca="false">IF(OR(AND($A289="",$B289="",$C289="",$D289="",$E289="",$F289="",$G289="",$H289=""),NOT($S289="")),"",MAX(0,ROUND($P289-$B289,2)))</f>
        <v/>
      </c>
      <c r="R289" s="21" t="str">
        <f aca="false">IF(AND($A289="",$B289="",$C289="",$D289="",$E289="",$F289="",$G289="",$H289=""),"",IF(NOT($S289=""),"Check inputs",IF($B289=0,"No fee entered",IF($N289&lt;0,"Losing money on entered costs",IF(ROUND($N289*100,0)*10000&lt;TargetH*ROUND($B289*100,0),"Below your target","Meets your target")))))</f>
        <v/>
      </c>
      <c r="S289" s="22" t="str">
        <f aca="false">IF(AND($A289="",$B289="",$C289="",$D289="",$E289="",$F289="",$G289="",$H289=""),"",TRIM(IF($A289="","Customer/site label is missing. ","")&amp;IF($B289="","Monthly fee is missing. ",IF(NOT(ISNUMBER($B289)),"Monthly fee must be a number. ",IF($B289&lt;0,"Monthly fee can't be negative. ",IF(ROUND($B289,2)&lt;&gt;$B289,"Monthly fee: use up to 2 decimal places. ",IF($B289&gt;99999.99,"Monthly fee: use 99,999.99 or less. ","")))))&amp;IF($C289="","Visits per month is missing. ",IF(NOT(ISNUMBER($C289)),"Visits per month must be a number. ",IF($C289&lt;0,"Visits per month can't be negative. ",IF(ROUND($C289,3)&lt;&gt;$C289,"Visits per month: use up to 3 decimal places. ",IF($C289=0,"Visits per month must be more than 0. ",IF($C289&gt;31,"Visits per month: use 31 or less. ",""))))))&amp;IF($D289="","Service minutes per visit is missing. ",IF(NOT(ISNUMBER($D289)),"Service minutes per visit must be a number. ",IF($D289&lt;0,"Service minutes per visit can't be negative. ",IF(ROUND($D289,2)&lt;&gt;$D289,"Service minutes per visit: use up to 2 decimal places. ",IF($D289=0,"Service minutes per visit must be more than 0. ",IF($D289&gt;600,"Service minutes per visit: use 600 or less. ",""))))))&amp;IF($E289="","Drive minutes per visit is missing. ",IF(NOT(ISNUMBER($E289)),"Drive minutes per visit must be a number. ",IF($E289&lt;0,"Drive minutes per visit can't be negative. ",IF(ROUND($E289,2)&lt;&gt;$E289,"Drive minutes per visit: use up to 2 decimal places. ",IF($E289&gt;600,"Drive minutes per visit: use 600 or less. ","")))))&amp;IF($F289="","Drive miles per visit is missing. ",IF(NOT(ISNUMBER($F289)),"Drive miles per visit must be a number. ",IF($F289&lt;0,"Drive miles per visit can't be negative. ",IF(ROUND($F289,2)&lt;&gt;$F289,"Drive miles per visit: use up to 2 decimal places. ",IF($F289&gt;1000,"Drive miles per visit: use 1,000 or less. ","")))))&amp;IF($G289="","Chemicals per visit is missing. ",IF(NOT(ISNUMBER($G289)),"Chemicals per visit must be a number. ",IF($G289&lt;0,"Chemicals per visit can't be negative. ",IF(ROUND($G289,2)&lt;&gt;$G289,"Chemicals per visit: use up to 2 decimal places. ",IF($G289&gt;9999.99,"Chemicals per visit: use 9,999.99 or less. ","")))))&amp;IF($H289="","Other monthly costs is missing. ",IF(NOT(ISNUMBER($H289)),"Other monthly costs must be a number. ",IF($H289&lt;0,"Other monthly costs can't be negative. ",IF(ROUND($H289,2)&lt;&gt;$H289,"Other monthly costs: use up to 2 decimal places. ",IF($H289&gt;99999.99,"Other monthly costs: use 99,999.99 or less. ","")))))&amp;IF(SettingsOK,"","Settings incomplete.")))</f>
        <v/>
      </c>
      <c r="T289" s="23" t="str">
        <f aca="false">IF(AND($A289="",$B289="",$C289="",$D289="",$E289="",$F289="",$G289="",$H289=""),"",IF(Review!$B$5="Check inputs",IF($R289="Check inputs",ROW(),""),IF($R289="Check inputs",IF(Review!$B$5="All accounts",-2000000000000000+ROW(),""),IF(AND(Review!$B$5="Needs review",$R289="Meets your target"),"",IF($R289="No fee entered",-1000000000000000+ROW(),$N289/$B289+ROW()/1000000000)))))</f>
        <v/>
      </c>
    </row>
    <row r="290" customFormat="false" ht="15" hidden="false" customHeight="false" outlineLevel="0" collapsed="false">
      <c r="A290" s="14"/>
      <c r="B290" s="15"/>
      <c r="C290" s="16"/>
      <c r="D290" s="14"/>
      <c r="E290" s="14"/>
      <c r="F290" s="14"/>
      <c r="G290" s="15"/>
      <c r="H290" s="15"/>
      <c r="I290" s="17" t="str">
        <f aca="false">IF(OR(AND($A290="",$B290="",$C290="",$D290="",$E290="",$F290="",$G290="",$H290=""),NOT($S290="")),"",ROUND($C290*($D290+$E290)/60,4))</f>
        <v/>
      </c>
      <c r="J290" s="18" t="str">
        <f aca="false">IF(OR(AND($A290="",$B290="",$C290="",$D290="",$E290="",$F290="",$G290="",$H290=""),NOT($S290="")),"",ROUND(ROUND($C290*($D290+$E290)/60*$B$5,9),2))</f>
        <v/>
      </c>
      <c r="K290" s="18" t="str">
        <f aca="false">IF(OR(AND($A290="",$B290="",$C290="",$D290="",$E290="",$F290="",$G290="",$H290=""),NOT($S290="")),"",ROUND(ROUND($C290*$F290*$B$6,9),2))</f>
        <v/>
      </c>
      <c r="L290" s="18" t="str">
        <f aca="false">IF(OR(AND($A290="",$B290="",$C290="",$D290="",$E290="",$F290="",$G290="",$H290=""),NOT($S290="")),"",ROUND(ROUND($C290*$G290,9),2))</f>
        <v/>
      </c>
      <c r="M290" s="19" t="str">
        <f aca="false">IF(OR(AND($A290="",$B290="",$C290="",$D290="",$E290="",$F290="",$G290="",$H290=""),NOT($S290="")),"",ROUND($J290+$K290+$L290+$H290,2))</f>
        <v/>
      </c>
      <c r="N290" s="19" t="str">
        <f aca="false">IF(OR(AND($A290="",$B290="",$C290="",$D290="",$E290="",$F290="",$G290="",$H290=""),NOT($S290="")),"",ROUND($B290-$M290,2))</f>
        <v/>
      </c>
      <c r="O290" s="20" t="str">
        <f aca="false">IF(OR(AND($A290="",$B290="",$C290="",$D290="",$E290="",$F290="",$G290="",$H290=""),NOT($S290="")),"",IF($B290=0,"n/a",INT(ROUND($N290/$B290*10000,6))/10000))</f>
        <v/>
      </c>
      <c r="P290" s="18" t="str">
        <f aca="false">IF(OR(AND($A290="",$B290="",$C290="",$D290="",$E290="",$F290="",$G290="",$H290=""),NOT($S290="")),"",ROUNDUP(ROUND($M290*10000/(10000-TargetH),9),2))</f>
        <v/>
      </c>
      <c r="Q290" s="18" t="str">
        <f aca="false">IF(OR(AND($A290="",$B290="",$C290="",$D290="",$E290="",$F290="",$G290="",$H290=""),NOT($S290="")),"",MAX(0,ROUND($P290-$B290,2)))</f>
        <v/>
      </c>
      <c r="R290" s="21" t="str">
        <f aca="false">IF(AND($A290="",$B290="",$C290="",$D290="",$E290="",$F290="",$G290="",$H290=""),"",IF(NOT($S290=""),"Check inputs",IF($B290=0,"No fee entered",IF($N290&lt;0,"Losing money on entered costs",IF(ROUND($N290*100,0)*10000&lt;TargetH*ROUND($B290*100,0),"Below your target","Meets your target")))))</f>
        <v/>
      </c>
      <c r="S290" s="22" t="str">
        <f aca="false">IF(AND($A290="",$B290="",$C290="",$D290="",$E290="",$F290="",$G290="",$H290=""),"",TRIM(IF($A290="","Customer/site label is missing. ","")&amp;IF($B290="","Monthly fee is missing. ",IF(NOT(ISNUMBER($B290)),"Monthly fee must be a number. ",IF($B290&lt;0,"Monthly fee can't be negative. ",IF(ROUND($B290,2)&lt;&gt;$B290,"Monthly fee: use up to 2 decimal places. ",IF($B290&gt;99999.99,"Monthly fee: use 99,999.99 or less. ","")))))&amp;IF($C290="","Visits per month is missing. ",IF(NOT(ISNUMBER($C290)),"Visits per month must be a number. ",IF($C290&lt;0,"Visits per month can't be negative. ",IF(ROUND($C290,3)&lt;&gt;$C290,"Visits per month: use up to 3 decimal places. ",IF($C290=0,"Visits per month must be more than 0. ",IF($C290&gt;31,"Visits per month: use 31 or less. ",""))))))&amp;IF($D290="","Service minutes per visit is missing. ",IF(NOT(ISNUMBER($D290)),"Service minutes per visit must be a number. ",IF($D290&lt;0,"Service minutes per visit can't be negative. ",IF(ROUND($D290,2)&lt;&gt;$D290,"Service minutes per visit: use up to 2 decimal places. ",IF($D290=0,"Service minutes per visit must be more than 0. ",IF($D290&gt;600,"Service minutes per visit: use 600 or less. ",""))))))&amp;IF($E290="","Drive minutes per visit is missing. ",IF(NOT(ISNUMBER($E290)),"Drive minutes per visit must be a number. ",IF($E290&lt;0,"Drive minutes per visit can't be negative. ",IF(ROUND($E290,2)&lt;&gt;$E290,"Drive minutes per visit: use up to 2 decimal places. ",IF($E290&gt;600,"Drive minutes per visit: use 600 or less. ","")))))&amp;IF($F290="","Drive miles per visit is missing. ",IF(NOT(ISNUMBER($F290)),"Drive miles per visit must be a number. ",IF($F290&lt;0,"Drive miles per visit can't be negative. ",IF(ROUND($F290,2)&lt;&gt;$F290,"Drive miles per visit: use up to 2 decimal places. ",IF($F290&gt;1000,"Drive miles per visit: use 1,000 or less. ","")))))&amp;IF($G290="","Chemicals per visit is missing. ",IF(NOT(ISNUMBER($G290)),"Chemicals per visit must be a number. ",IF($G290&lt;0,"Chemicals per visit can't be negative. ",IF(ROUND($G290,2)&lt;&gt;$G290,"Chemicals per visit: use up to 2 decimal places. ",IF($G290&gt;9999.99,"Chemicals per visit: use 9,999.99 or less. ","")))))&amp;IF($H290="","Other monthly costs is missing. ",IF(NOT(ISNUMBER($H290)),"Other monthly costs must be a number. ",IF($H290&lt;0,"Other monthly costs can't be negative. ",IF(ROUND($H290,2)&lt;&gt;$H290,"Other monthly costs: use up to 2 decimal places. ",IF($H290&gt;99999.99,"Other monthly costs: use 99,999.99 or less. ","")))))&amp;IF(SettingsOK,"","Settings incomplete.")))</f>
        <v/>
      </c>
      <c r="T290" s="23" t="str">
        <f aca="false">IF(AND($A290="",$B290="",$C290="",$D290="",$E290="",$F290="",$G290="",$H290=""),"",IF(Review!$B$5="Check inputs",IF($R290="Check inputs",ROW(),""),IF($R290="Check inputs",IF(Review!$B$5="All accounts",-2000000000000000+ROW(),""),IF(AND(Review!$B$5="Needs review",$R290="Meets your target"),"",IF($R290="No fee entered",-1000000000000000+ROW(),$N290/$B290+ROW()/1000000000)))))</f>
        <v/>
      </c>
    </row>
    <row r="291" customFormat="false" ht="15" hidden="false" customHeight="false" outlineLevel="0" collapsed="false">
      <c r="A291" s="14"/>
      <c r="B291" s="15"/>
      <c r="C291" s="16"/>
      <c r="D291" s="14"/>
      <c r="E291" s="14"/>
      <c r="F291" s="14"/>
      <c r="G291" s="15"/>
      <c r="H291" s="15"/>
      <c r="I291" s="17" t="str">
        <f aca="false">IF(OR(AND($A291="",$B291="",$C291="",$D291="",$E291="",$F291="",$G291="",$H291=""),NOT($S291="")),"",ROUND($C291*($D291+$E291)/60,4))</f>
        <v/>
      </c>
      <c r="J291" s="18" t="str">
        <f aca="false">IF(OR(AND($A291="",$B291="",$C291="",$D291="",$E291="",$F291="",$G291="",$H291=""),NOT($S291="")),"",ROUND(ROUND($C291*($D291+$E291)/60*$B$5,9),2))</f>
        <v/>
      </c>
      <c r="K291" s="18" t="str">
        <f aca="false">IF(OR(AND($A291="",$B291="",$C291="",$D291="",$E291="",$F291="",$G291="",$H291=""),NOT($S291="")),"",ROUND(ROUND($C291*$F291*$B$6,9),2))</f>
        <v/>
      </c>
      <c r="L291" s="18" t="str">
        <f aca="false">IF(OR(AND($A291="",$B291="",$C291="",$D291="",$E291="",$F291="",$G291="",$H291=""),NOT($S291="")),"",ROUND(ROUND($C291*$G291,9),2))</f>
        <v/>
      </c>
      <c r="M291" s="19" t="str">
        <f aca="false">IF(OR(AND($A291="",$B291="",$C291="",$D291="",$E291="",$F291="",$G291="",$H291=""),NOT($S291="")),"",ROUND($J291+$K291+$L291+$H291,2))</f>
        <v/>
      </c>
      <c r="N291" s="19" t="str">
        <f aca="false">IF(OR(AND($A291="",$B291="",$C291="",$D291="",$E291="",$F291="",$G291="",$H291=""),NOT($S291="")),"",ROUND($B291-$M291,2))</f>
        <v/>
      </c>
      <c r="O291" s="20" t="str">
        <f aca="false">IF(OR(AND($A291="",$B291="",$C291="",$D291="",$E291="",$F291="",$G291="",$H291=""),NOT($S291="")),"",IF($B291=0,"n/a",INT(ROUND($N291/$B291*10000,6))/10000))</f>
        <v/>
      </c>
      <c r="P291" s="18" t="str">
        <f aca="false">IF(OR(AND($A291="",$B291="",$C291="",$D291="",$E291="",$F291="",$G291="",$H291=""),NOT($S291="")),"",ROUNDUP(ROUND($M291*10000/(10000-TargetH),9),2))</f>
        <v/>
      </c>
      <c r="Q291" s="18" t="str">
        <f aca="false">IF(OR(AND($A291="",$B291="",$C291="",$D291="",$E291="",$F291="",$G291="",$H291=""),NOT($S291="")),"",MAX(0,ROUND($P291-$B291,2)))</f>
        <v/>
      </c>
      <c r="R291" s="21" t="str">
        <f aca="false">IF(AND($A291="",$B291="",$C291="",$D291="",$E291="",$F291="",$G291="",$H291=""),"",IF(NOT($S291=""),"Check inputs",IF($B291=0,"No fee entered",IF($N291&lt;0,"Losing money on entered costs",IF(ROUND($N291*100,0)*10000&lt;TargetH*ROUND($B291*100,0),"Below your target","Meets your target")))))</f>
        <v/>
      </c>
      <c r="S291" s="22" t="str">
        <f aca="false">IF(AND($A291="",$B291="",$C291="",$D291="",$E291="",$F291="",$G291="",$H291=""),"",TRIM(IF($A291="","Customer/site label is missing. ","")&amp;IF($B291="","Monthly fee is missing. ",IF(NOT(ISNUMBER($B291)),"Monthly fee must be a number. ",IF($B291&lt;0,"Monthly fee can't be negative. ",IF(ROUND($B291,2)&lt;&gt;$B291,"Monthly fee: use up to 2 decimal places. ",IF($B291&gt;99999.99,"Monthly fee: use 99,999.99 or less. ","")))))&amp;IF($C291="","Visits per month is missing. ",IF(NOT(ISNUMBER($C291)),"Visits per month must be a number. ",IF($C291&lt;0,"Visits per month can't be negative. ",IF(ROUND($C291,3)&lt;&gt;$C291,"Visits per month: use up to 3 decimal places. ",IF($C291=0,"Visits per month must be more than 0. ",IF($C291&gt;31,"Visits per month: use 31 or less. ",""))))))&amp;IF($D291="","Service minutes per visit is missing. ",IF(NOT(ISNUMBER($D291)),"Service minutes per visit must be a number. ",IF($D291&lt;0,"Service minutes per visit can't be negative. ",IF(ROUND($D291,2)&lt;&gt;$D291,"Service minutes per visit: use up to 2 decimal places. ",IF($D291=0,"Service minutes per visit must be more than 0. ",IF($D291&gt;600,"Service minutes per visit: use 600 or less. ",""))))))&amp;IF($E291="","Drive minutes per visit is missing. ",IF(NOT(ISNUMBER($E291)),"Drive minutes per visit must be a number. ",IF($E291&lt;0,"Drive minutes per visit can't be negative. ",IF(ROUND($E291,2)&lt;&gt;$E291,"Drive minutes per visit: use up to 2 decimal places. ",IF($E291&gt;600,"Drive minutes per visit: use 600 or less. ","")))))&amp;IF($F291="","Drive miles per visit is missing. ",IF(NOT(ISNUMBER($F291)),"Drive miles per visit must be a number. ",IF($F291&lt;0,"Drive miles per visit can't be negative. ",IF(ROUND($F291,2)&lt;&gt;$F291,"Drive miles per visit: use up to 2 decimal places. ",IF($F291&gt;1000,"Drive miles per visit: use 1,000 or less. ","")))))&amp;IF($G291="","Chemicals per visit is missing. ",IF(NOT(ISNUMBER($G291)),"Chemicals per visit must be a number. ",IF($G291&lt;0,"Chemicals per visit can't be negative. ",IF(ROUND($G291,2)&lt;&gt;$G291,"Chemicals per visit: use up to 2 decimal places. ",IF($G291&gt;9999.99,"Chemicals per visit: use 9,999.99 or less. ","")))))&amp;IF($H291="","Other monthly costs is missing. ",IF(NOT(ISNUMBER($H291)),"Other monthly costs must be a number. ",IF($H291&lt;0,"Other monthly costs can't be negative. ",IF(ROUND($H291,2)&lt;&gt;$H291,"Other monthly costs: use up to 2 decimal places. ",IF($H291&gt;99999.99,"Other monthly costs: use 99,999.99 or less. ","")))))&amp;IF(SettingsOK,"","Settings incomplete.")))</f>
        <v/>
      </c>
      <c r="T291" s="23" t="str">
        <f aca="false">IF(AND($A291="",$B291="",$C291="",$D291="",$E291="",$F291="",$G291="",$H291=""),"",IF(Review!$B$5="Check inputs",IF($R291="Check inputs",ROW(),""),IF($R291="Check inputs",IF(Review!$B$5="All accounts",-2000000000000000+ROW(),""),IF(AND(Review!$B$5="Needs review",$R291="Meets your target"),"",IF($R291="No fee entered",-1000000000000000+ROW(),$N291/$B291+ROW()/1000000000)))))</f>
        <v/>
      </c>
    </row>
    <row r="292" customFormat="false" ht="15" hidden="false" customHeight="false" outlineLevel="0" collapsed="false">
      <c r="A292" s="14"/>
      <c r="B292" s="15"/>
      <c r="C292" s="16"/>
      <c r="D292" s="14"/>
      <c r="E292" s="14"/>
      <c r="F292" s="14"/>
      <c r="G292" s="15"/>
      <c r="H292" s="15"/>
      <c r="I292" s="17" t="str">
        <f aca="false">IF(OR(AND($A292="",$B292="",$C292="",$D292="",$E292="",$F292="",$G292="",$H292=""),NOT($S292="")),"",ROUND($C292*($D292+$E292)/60,4))</f>
        <v/>
      </c>
      <c r="J292" s="18" t="str">
        <f aca="false">IF(OR(AND($A292="",$B292="",$C292="",$D292="",$E292="",$F292="",$G292="",$H292=""),NOT($S292="")),"",ROUND(ROUND($C292*($D292+$E292)/60*$B$5,9),2))</f>
        <v/>
      </c>
      <c r="K292" s="18" t="str">
        <f aca="false">IF(OR(AND($A292="",$B292="",$C292="",$D292="",$E292="",$F292="",$G292="",$H292=""),NOT($S292="")),"",ROUND(ROUND($C292*$F292*$B$6,9),2))</f>
        <v/>
      </c>
      <c r="L292" s="18" t="str">
        <f aca="false">IF(OR(AND($A292="",$B292="",$C292="",$D292="",$E292="",$F292="",$G292="",$H292=""),NOT($S292="")),"",ROUND(ROUND($C292*$G292,9),2))</f>
        <v/>
      </c>
      <c r="M292" s="19" t="str">
        <f aca="false">IF(OR(AND($A292="",$B292="",$C292="",$D292="",$E292="",$F292="",$G292="",$H292=""),NOT($S292="")),"",ROUND($J292+$K292+$L292+$H292,2))</f>
        <v/>
      </c>
      <c r="N292" s="19" t="str">
        <f aca="false">IF(OR(AND($A292="",$B292="",$C292="",$D292="",$E292="",$F292="",$G292="",$H292=""),NOT($S292="")),"",ROUND($B292-$M292,2))</f>
        <v/>
      </c>
      <c r="O292" s="20" t="str">
        <f aca="false">IF(OR(AND($A292="",$B292="",$C292="",$D292="",$E292="",$F292="",$G292="",$H292=""),NOT($S292="")),"",IF($B292=0,"n/a",INT(ROUND($N292/$B292*10000,6))/10000))</f>
        <v/>
      </c>
      <c r="P292" s="18" t="str">
        <f aca="false">IF(OR(AND($A292="",$B292="",$C292="",$D292="",$E292="",$F292="",$G292="",$H292=""),NOT($S292="")),"",ROUNDUP(ROUND($M292*10000/(10000-TargetH),9),2))</f>
        <v/>
      </c>
      <c r="Q292" s="18" t="str">
        <f aca="false">IF(OR(AND($A292="",$B292="",$C292="",$D292="",$E292="",$F292="",$G292="",$H292=""),NOT($S292="")),"",MAX(0,ROUND($P292-$B292,2)))</f>
        <v/>
      </c>
      <c r="R292" s="21" t="str">
        <f aca="false">IF(AND($A292="",$B292="",$C292="",$D292="",$E292="",$F292="",$G292="",$H292=""),"",IF(NOT($S292=""),"Check inputs",IF($B292=0,"No fee entered",IF($N292&lt;0,"Losing money on entered costs",IF(ROUND($N292*100,0)*10000&lt;TargetH*ROUND($B292*100,0),"Below your target","Meets your target")))))</f>
        <v/>
      </c>
      <c r="S292" s="22" t="str">
        <f aca="false">IF(AND($A292="",$B292="",$C292="",$D292="",$E292="",$F292="",$G292="",$H292=""),"",TRIM(IF($A292="","Customer/site label is missing. ","")&amp;IF($B292="","Monthly fee is missing. ",IF(NOT(ISNUMBER($B292)),"Monthly fee must be a number. ",IF($B292&lt;0,"Monthly fee can't be negative. ",IF(ROUND($B292,2)&lt;&gt;$B292,"Monthly fee: use up to 2 decimal places. ",IF($B292&gt;99999.99,"Monthly fee: use 99,999.99 or less. ","")))))&amp;IF($C292="","Visits per month is missing. ",IF(NOT(ISNUMBER($C292)),"Visits per month must be a number. ",IF($C292&lt;0,"Visits per month can't be negative. ",IF(ROUND($C292,3)&lt;&gt;$C292,"Visits per month: use up to 3 decimal places. ",IF($C292=0,"Visits per month must be more than 0. ",IF($C292&gt;31,"Visits per month: use 31 or less. ",""))))))&amp;IF($D292="","Service minutes per visit is missing. ",IF(NOT(ISNUMBER($D292)),"Service minutes per visit must be a number. ",IF($D292&lt;0,"Service minutes per visit can't be negative. ",IF(ROUND($D292,2)&lt;&gt;$D292,"Service minutes per visit: use up to 2 decimal places. ",IF($D292=0,"Service minutes per visit must be more than 0. ",IF($D292&gt;600,"Service minutes per visit: use 600 or less. ",""))))))&amp;IF($E292="","Drive minutes per visit is missing. ",IF(NOT(ISNUMBER($E292)),"Drive minutes per visit must be a number. ",IF($E292&lt;0,"Drive minutes per visit can't be negative. ",IF(ROUND($E292,2)&lt;&gt;$E292,"Drive minutes per visit: use up to 2 decimal places. ",IF($E292&gt;600,"Drive minutes per visit: use 600 or less. ","")))))&amp;IF($F292="","Drive miles per visit is missing. ",IF(NOT(ISNUMBER($F292)),"Drive miles per visit must be a number. ",IF($F292&lt;0,"Drive miles per visit can't be negative. ",IF(ROUND($F292,2)&lt;&gt;$F292,"Drive miles per visit: use up to 2 decimal places. ",IF($F292&gt;1000,"Drive miles per visit: use 1,000 or less. ","")))))&amp;IF($G292="","Chemicals per visit is missing. ",IF(NOT(ISNUMBER($G292)),"Chemicals per visit must be a number. ",IF($G292&lt;0,"Chemicals per visit can't be negative. ",IF(ROUND($G292,2)&lt;&gt;$G292,"Chemicals per visit: use up to 2 decimal places. ",IF($G292&gt;9999.99,"Chemicals per visit: use 9,999.99 or less. ","")))))&amp;IF($H292="","Other monthly costs is missing. ",IF(NOT(ISNUMBER($H292)),"Other monthly costs must be a number. ",IF($H292&lt;0,"Other monthly costs can't be negative. ",IF(ROUND($H292,2)&lt;&gt;$H292,"Other monthly costs: use up to 2 decimal places. ",IF($H292&gt;99999.99,"Other monthly costs: use 99,999.99 or less. ","")))))&amp;IF(SettingsOK,"","Settings incomplete.")))</f>
        <v/>
      </c>
      <c r="T292" s="23" t="str">
        <f aca="false">IF(AND($A292="",$B292="",$C292="",$D292="",$E292="",$F292="",$G292="",$H292=""),"",IF(Review!$B$5="Check inputs",IF($R292="Check inputs",ROW(),""),IF($R292="Check inputs",IF(Review!$B$5="All accounts",-2000000000000000+ROW(),""),IF(AND(Review!$B$5="Needs review",$R292="Meets your target"),"",IF($R292="No fee entered",-1000000000000000+ROW(),$N292/$B292+ROW()/1000000000)))))</f>
        <v/>
      </c>
    </row>
    <row r="293" customFormat="false" ht="15" hidden="false" customHeight="false" outlineLevel="0" collapsed="false">
      <c r="A293" s="14"/>
      <c r="B293" s="15"/>
      <c r="C293" s="16"/>
      <c r="D293" s="14"/>
      <c r="E293" s="14"/>
      <c r="F293" s="14"/>
      <c r="G293" s="15"/>
      <c r="H293" s="15"/>
      <c r="I293" s="17" t="str">
        <f aca="false">IF(OR(AND($A293="",$B293="",$C293="",$D293="",$E293="",$F293="",$G293="",$H293=""),NOT($S293="")),"",ROUND($C293*($D293+$E293)/60,4))</f>
        <v/>
      </c>
      <c r="J293" s="18" t="str">
        <f aca="false">IF(OR(AND($A293="",$B293="",$C293="",$D293="",$E293="",$F293="",$G293="",$H293=""),NOT($S293="")),"",ROUND(ROUND($C293*($D293+$E293)/60*$B$5,9),2))</f>
        <v/>
      </c>
      <c r="K293" s="18" t="str">
        <f aca="false">IF(OR(AND($A293="",$B293="",$C293="",$D293="",$E293="",$F293="",$G293="",$H293=""),NOT($S293="")),"",ROUND(ROUND($C293*$F293*$B$6,9),2))</f>
        <v/>
      </c>
      <c r="L293" s="18" t="str">
        <f aca="false">IF(OR(AND($A293="",$B293="",$C293="",$D293="",$E293="",$F293="",$G293="",$H293=""),NOT($S293="")),"",ROUND(ROUND($C293*$G293,9),2))</f>
        <v/>
      </c>
      <c r="M293" s="19" t="str">
        <f aca="false">IF(OR(AND($A293="",$B293="",$C293="",$D293="",$E293="",$F293="",$G293="",$H293=""),NOT($S293="")),"",ROUND($J293+$K293+$L293+$H293,2))</f>
        <v/>
      </c>
      <c r="N293" s="19" t="str">
        <f aca="false">IF(OR(AND($A293="",$B293="",$C293="",$D293="",$E293="",$F293="",$G293="",$H293=""),NOT($S293="")),"",ROUND($B293-$M293,2))</f>
        <v/>
      </c>
      <c r="O293" s="20" t="str">
        <f aca="false">IF(OR(AND($A293="",$B293="",$C293="",$D293="",$E293="",$F293="",$G293="",$H293=""),NOT($S293="")),"",IF($B293=0,"n/a",INT(ROUND($N293/$B293*10000,6))/10000))</f>
        <v/>
      </c>
      <c r="P293" s="18" t="str">
        <f aca="false">IF(OR(AND($A293="",$B293="",$C293="",$D293="",$E293="",$F293="",$G293="",$H293=""),NOT($S293="")),"",ROUNDUP(ROUND($M293*10000/(10000-TargetH),9),2))</f>
        <v/>
      </c>
      <c r="Q293" s="18" t="str">
        <f aca="false">IF(OR(AND($A293="",$B293="",$C293="",$D293="",$E293="",$F293="",$G293="",$H293=""),NOT($S293="")),"",MAX(0,ROUND($P293-$B293,2)))</f>
        <v/>
      </c>
      <c r="R293" s="21" t="str">
        <f aca="false">IF(AND($A293="",$B293="",$C293="",$D293="",$E293="",$F293="",$G293="",$H293=""),"",IF(NOT($S293=""),"Check inputs",IF($B293=0,"No fee entered",IF($N293&lt;0,"Losing money on entered costs",IF(ROUND($N293*100,0)*10000&lt;TargetH*ROUND($B293*100,0),"Below your target","Meets your target")))))</f>
        <v/>
      </c>
      <c r="S293" s="22" t="str">
        <f aca="false">IF(AND($A293="",$B293="",$C293="",$D293="",$E293="",$F293="",$G293="",$H293=""),"",TRIM(IF($A293="","Customer/site label is missing. ","")&amp;IF($B293="","Monthly fee is missing. ",IF(NOT(ISNUMBER($B293)),"Monthly fee must be a number. ",IF($B293&lt;0,"Monthly fee can't be negative. ",IF(ROUND($B293,2)&lt;&gt;$B293,"Monthly fee: use up to 2 decimal places. ",IF($B293&gt;99999.99,"Monthly fee: use 99,999.99 or less. ","")))))&amp;IF($C293="","Visits per month is missing. ",IF(NOT(ISNUMBER($C293)),"Visits per month must be a number. ",IF($C293&lt;0,"Visits per month can't be negative. ",IF(ROUND($C293,3)&lt;&gt;$C293,"Visits per month: use up to 3 decimal places. ",IF($C293=0,"Visits per month must be more than 0. ",IF($C293&gt;31,"Visits per month: use 31 or less. ",""))))))&amp;IF($D293="","Service minutes per visit is missing. ",IF(NOT(ISNUMBER($D293)),"Service minutes per visit must be a number. ",IF($D293&lt;0,"Service minutes per visit can't be negative. ",IF(ROUND($D293,2)&lt;&gt;$D293,"Service minutes per visit: use up to 2 decimal places. ",IF($D293=0,"Service minutes per visit must be more than 0. ",IF($D293&gt;600,"Service minutes per visit: use 600 or less. ",""))))))&amp;IF($E293="","Drive minutes per visit is missing. ",IF(NOT(ISNUMBER($E293)),"Drive minutes per visit must be a number. ",IF($E293&lt;0,"Drive minutes per visit can't be negative. ",IF(ROUND($E293,2)&lt;&gt;$E293,"Drive minutes per visit: use up to 2 decimal places. ",IF($E293&gt;600,"Drive minutes per visit: use 600 or less. ","")))))&amp;IF($F293="","Drive miles per visit is missing. ",IF(NOT(ISNUMBER($F293)),"Drive miles per visit must be a number. ",IF($F293&lt;0,"Drive miles per visit can't be negative. ",IF(ROUND($F293,2)&lt;&gt;$F293,"Drive miles per visit: use up to 2 decimal places. ",IF($F293&gt;1000,"Drive miles per visit: use 1,000 or less. ","")))))&amp;IF($G293="","Chemicals per visit is missing. ",IF(NOT(ISNUMBER($G293)),"Chemicals per visit must be a number. ",IF($G293&lt;0,"Chemicals per visit can't be negative. ",IF(ROUND($G293,2)&lt;&gt;$G293,"Chemicals per visit: use up to 2 decimal places. ",IF($G293&gt;9999.99,"Chemicals per visit: use 9,999.99 or less. ","")))))&amp;IF($H293="","Other monthly costs is missing. ",IF(NOT(ISNUMBER($H293)),"Other monthly costs must be a number. ",IF($H293&lt;0,"Other monthly costs can't be negative. ",IF(ROUND($H293,2)&lt;&gt;$H293,"Other monthly costs: use up to 2 decimal places. ",IF($H293&gt;99999.99,"Other monthly costs: use 99,999.99 or less. ","")))))&amp;IF(SettingsOK,"","Settings incomplete.")))</f>
        <v/>
      </c>
      <c r="T293" s="23" t="str">
        <f aca="false">IF(AND($A293="",$B293="",$C293="",$D293="",$E293="",$F293="",$G293="",$H293=""),"",IF(Review!$B$5="Check inputs",IF($R293="Check inputs",ROW(),""),IF($R293="Check inputs",IF(Review!$B$5="All accounts",-2000000000000000+ROW(),""),IF(AND(Review!$B$5="Needs review",$R293="Meets your target"),"",IF($R293="No fee entered",-1000000000000000+ROW(),$N293/$B293+ROW()/1000000000)))))</f>
        <v/>
      </c>
    </row>
    <row r="294" customFormat="false" ht="15" hidden="false" customHeight="false" outlineLevel="0" collapsed="false">
      <c r="A294" s="14"/>
      <c r="B294" s="15"/>
      <c r="C294" s="16"/>
      <c r="D294" s="14"/>
      <c r="E294" s="14"/>
      <c r="F294" s="14"/>
      <c r="G294" s="15"/>
      <c r="H294" s="15"/>
      <c r="I294" s="17" t="str">
        <f aca="false">IF(OR(AND($A294="",$B294="",$C294="",$D294="",$E294="",$F294="",$G294="",$H294=""),NOT($S294="")),"",ROUND($C294*($D294+$E294)/60,4))</f>
        <v/>
      </c>
      <c r="J294" s="18" t="str">
        <f aca="false">IF(OR(AND($A294="",$B294="",$C294="",$D294="",$E294="",$F294="",$G294="",$H294=""),NOT($S294="")),"",ROUND(ROUND($C294*($D294+$E294)/60*$B$5,9),2))</f>
        <v/>
      </c>
      <c r="K294" s="18" t="str">
        <f aca="false">IF(OR(AND($A294="",$B294="",$C294="",$D294="",$E294="",$F294="",$G294="",$H294=""),NOT($S294="")),"",ROUND(ROUND($C294*$F294*$B$6,9),2))</f>
        <v/>
      </c>
      <c r="L294" s="18" t="str">
        <f aca="false">IF(OR(AND($A294="",$B294="",$C294="",$D294="",$E294="",$F294="",$G294="",$H294=""),NOT($S294="")),"",ROUND(ROUND($C294*$G294,9),2))</f>
        <v/>
      </c>
      <c r="M294" s="19" t="str">
        <f aca="false">IF(OR(AND($A294="",$B294="",$C294="",$D294="",$E294="",$F294="",$G294="",$H294=""),NOT($S294="")),"",ROUND($J294+$K294+$L294+$H294,2))</f>
        <v/>
      </c>
      <c r="N294" s="19" t="str">
        <f aca="false">IF(OR(AND($A294="",$B294="",$C294="",$D294="",$E294="",$F294="",$G294="",$H294=""),NOT($S294="")),"",ROUND($B294-$M294,2))</f>
        <v/>
      </c>
      <c r="O294" s="20" t="str">
        <f aca="false">IF(OR(AND($A294="",$B294="",$C294="",$D294="",$E294="",$F294="",$G294="",$H294=""),NOT($S294="")),"",IF($B294=0,"n/a",INT(ROUND($N294/$B294*10000,6))/10000))</f>
        <v/>
      </c>
      <c r="P294" s="18" t="str">
        <f aca="false">IF(OR(AND($A294="",$B294="",$C294="",$D294="",$E294="",$F294="",$G294="",$H294=""),NOT($S294="")),"",ROUNDUP(ROUND($M294*10000/(10000-TargetH),9),2))</f>
        <v/>
      </c>
      <c r="Q294" s="18" t="str">
        <f aca="false">IF(OR(AND($A294="",$B294="",$C294="",$D294="",$E294="",$F294="",$G294="",$H294=""),NOT($S294="")),"",MAX(0,ROUND($P294-$B294,2)))</f>
        <v/>
      </c>
      <c r="R294" s="21" t="str">
        <f aca="false">IF(AND($A294="",$B294="",$C294="",$D294="",$E294="",$F294="",$G294="",$H294=""),"",IF(NOT($S294=""),"Check inputs",IF($B294=0,"No fee entered",IF($N294&lt;0,"Losing money on entered costs",IF(ROUND($N294*100,0)*10000&lt;TargetH*ROUND($B294*100,0),"Below your target","Meets your target")))))</f>
        <v/>
      </c>
      <c r="S294" s="22" t="str">
        <f aca="false">IF(AND($A294="",$B294="",$C294="",$D294="",$E294="",$F294="",$G294="",$H294=""),"",TRIM(IF($A294="","Customer/site label is missing. ","")&amp;IF($B294="","Monthly fee is missing. ",IF(NOT(ISNUMBER($B294)),"Monthly fee must be a number. ",IF($B294&lt;0,"Monthly fee can't be negative. ",IF(ROUND($B294,2)&lt;&gt;$B294,"Monthly fee: use up to 2 decimal places. ",IF($B294&gt;99999.99,"Monthly fee: use 99,999.99 or less. ","")))))&amp;IF($C294="","Visits per month is missing. ",IF(NOT(ISNUMBER($C294)),"Visits per month must be a number. ",IF($C294&lt;0,"Visits per month can't be negative. ",IF(ROUND($C294,3)&lt;&gt;$C294,"Visits per month: use up to 3 decimal places. ",IF($C294=0,"Visits per month must be more than 0. ",IF($C294&gt;31,"Visits per month: use 31 or less. ",""))))))&amp;IF($D294="","Service minutes per visit is missing. ",IF(NOT(ISNUMBER($D294)),"Service minutes per visit must be a number. ",IF($D294&lt;0,"Service minutes per visit can't be negative. ",IF(ROUND($D294,2)&lt;&gt;$D294,"Service minutes per visit: use up to 2 decimal places. ",IF($D294=0,"Service minutes per visit must be more than 0. ",IF($D294&gt;600,"Service minutes per visit: use 600 or less. ",""))))))&amp;IF($E294="","Drive minutes per visit is missing. ",IF(NOT(ISNUMBER($E294)),"Drive minutes per visit must be a number. ",IF($E294&lt;0,"Drive minutes per visit can't be negative. ",IF(ROUND($E294,2)&lt;&gt;$E294,"Drive minutes per visit: use up to 2 decimal places. ",IF($E294&gt;600,"Drive minutes per visit: use 600 or less. ","")))))&amp;IF($F294="","Drive miles per visit is missing. ",IF(NOT(ISNUMBER($F294)),"Drive miles per visit must be a number. ",IF($F294&lt;0,"Drive miles per visit can't be negative. ",IF(ROUND($F294,2)&lt;&gt;$F294,"Drive miles per visit: use up to 2 decimal places. ",IF($F294&gt;1000,"Drive miles per visit: use 1,000 or less. ","")))))&amp;IF($G294="","Chemicals per visit is missing. ",IF(NOT(ISNUMBER($G294)),"Chemicals per visit must be a number. ",IF($G294&lt;0,"Chemicals per visit can't be negative. ",IF(ROUND($G294,2)&lt;&gt;$G294,"Chemicals per visit: use up to 2 decimal places. ",IF($G294&gt;9999.99,"Chemicals per visit: use 9,999.99 or less. ","")))))&amp;IF($H294="","Other monthly costs is missing. ",IF(NOT(ISNUMBER($H294)),"Other monthly costs must be a number. ",IF($H294&lt;0,"Other monthly costs can't be negative. ",IF(ROUND($H294,2)&lt;&gt;$H294,"Other monthly costs: use up to 2 decimal places. ",IF($H294&gt;99999.99,"Other monthly costs: use 99,999.99 or less. ","")))))&amp;IF(SettingsOK,"","Settings incomplete.")))</f>
        <v/>
      </c>
      <c r="T294" s="23" t="str">
        <f aca="false">IF(AND($A294="",$B294="",$C294="",$D294="",$E294="",$F294="",$G294="",$H294=""),"",IF(Review!$B$5="Check inputs",IF($R294="Check inputs",ROW(),""),IF($R294="Check inputs",IF(Review!$B$5="All accounts",-2000000000000000+ROW(),""),IF(AND(Review!$B$5="Needs review",$R294="Meets your target"),"",IF($R294="No fee entered",-1000000000000000+ROW(),$N294/$B294+ROW()/1000000000)))))</f>
        <v/>
      </c>
    </row>
    <row r="295" customFormat="false" ht="15" hidden="false" customHeight="false" outlineLevel="0" collapsed="false">
      <c r="A295" s="14"/>
      <c r="B295" s="15"/>
      <c r="C295" s="16"/>
      <c r="D295" s="14"/>
      <c r="E295" s="14"/>
      <c r="F295" s="14"/>
      <c r="G295" s="15"/>
      <c r="H295" s="15"/>
      <c r="I295" s="17" t="str">
        <f aca="false">IF(OR(AND($A295="",$B295="",$C295="",$D295="",$E295="",$F295="",$G295="",$H295=""),NOT($S295="")),"",ROUND($C295*($D295+$E295)/60,4))</f>
        <v/>
      </c>
      <c r="J295" s="18" t="str">
        <f aca="false">IF(OR(AND($A295="",$B295="",$C295="",$D295="",$E295="",$F295="",$G295="",$H295=""),NOT($S295="")),"",ROUND(ROUND($C295*($D295+$E295)/60*$B$5,9),2))</f>
        <v/>
      </c>
      <c r="K295" s="18" t="str">
        <f aca="false">IF(OR(AND($A295="",$B295="",$C295="",$D295="",$E295="",$F295="",$G295="",$H295=""),NOT($S295="")),"",ROUND(ROUND($C295*$F295*$B$6,9),2))</f>
        <v/>
      </c>
      <c r="L295" s="18" t="str">
        <f aca="false">IF(OR(AND($A295="",$B295="",$C295="",$D295="",$E295="",$F295="",$G295="",$H295=""),NOT($S295="")),"",ROUND(ROUND($C295*$G295,9),2))</f>
        <v/>
      </c>
      <c r="M295" s="19" t="str">
        <f aca="false">IF(OR(AND($A295="",$B295="",$C295="",$D295="",$E295="",$F295="",$G295="",$H295=""),NOT($S295="")),"",ROUND($J295+$K295+$L295+$H295,2))</f>
        <v/>
      </c>
      <c r="N295" s="19" t="str">
        <f aca="false">IF(OR(AND($A295="",$B295="",$C295="",$D295="",$E295="",$F295="",$G295="",$H295=""),NOT($S295="")),"",ROUND($B295-$M295,2))</f>
        <v/>
      </c>
      <c r="O295" s="20" t="str">
        <f aca="false">IF(OR(AND($A295="",$B295="",$C295="",$D295="",$E295="",$F295="",$G295="",$H295=""),NOT($S295="")),"",IF($B295=0,"n/a",INT(ROUND($N295/$B295*10000,6))/10000))</f>
        <v/>
      </c>
      <c r="P295" s="18" t="str">
        <f aca="false">IF(OR(AND($A295="",$B295="",$C295="",$D295="",$E295="",$F295="",$G295="",$H295=""),NOT($S295="")),"",ROUNDUP(ROUND($M295*10000/(10000-TargetH),9),2))</f>
        <v/>
      </c>
      <c r="Q295" s="18" t="str">
        <f aca="false">IF(OR(AND($A295="",$B295="",$C295="",$D295="",$E295="",$F295="",$G295="",$H295=""),NOT($S295="")),"",MAX(0,ROUND($P295-$B295,2)))</f>
        <v/>
      </c>
      <c r="R295" s="21" t="str">
        <f aca="false">IF(AND($A295="",$B295="",$C295="",$D295="",$E295="",$F295="",$G295="",$H295=""),"",IF(NOT($S295=""),"Check inputs",IF($B295=0,"No fee entered",IF($N295&lt;0,"Losing money on entered costs",IF(ROUND($N295*100,0)*10000&lt;TargetH*ROUND($B295*100,0),"Below your target","Meets your target")))))</f>
        <v/>
      </c>
      <c r="S295" s="22" t="str">
        <f aca="false">IF(AND($A295="",$B295="",$C295="",$D295="",$E295="",$F295="",$G295="",$H295=""),"",TRIM(IF($A295="","Customer/site label is missing. ","")&amp;IF($B295="","Monthly fee is missing. ",IF(NOT(ISNUMBER($B295)),"Monthly fee must be a number. ",IF($B295&lt;0,"Monthly fee can't be negative. ",IF(ROUND($B295,2)&lt;&gt;$B295,"Monthly fee: use up to 2 decimal places. ",IF($B295&gt;99999.99,"Monthly fee: use 99,999.99 or less. ","")))))&amp;IF($C295="","Visits per month is missing. ",IF(NOT(ISNUMBER($C295)),"Visits per month must be a number. ",IF($C295&lt;0,"Visits per month can't be negative. ",IF(ROUND($C295,3)&lt;&gt;$C295,"Visits per month: use up to 3 decimal places. ",IF($C295=0,"Visits per month must be more than 0. ",IF($C295&gt;31,"Visits per month: use 31 or less. ",""))))))&amp;IF($D295="","Service minutes per visit is missing. ",IF(NOT(ISNUMBER($D295)),"Service minutes per visit must be a number. ",IF($D295&lt;0,"Service minutes per visit can't be negative. ",IF(ROUND($D295,2)&lt;&gt;$D295,"Service minutes per visit: use up to 2 decimal places. ",IF($D295=0,"Service minutes per visit must be more than 0. ",IF($D295&gt;600,"Service minutes per visit: use 600 or less. ",""))))))&amp;IF($E295="","Drive minutes per visit is missing. ",IF(NOT(ISNUMBER($E295)),"Drive minutes per visit must be a number. ",IF($E295&lt;0,"Drive minutes per visit can't be negative. ",IF(ROUND($E295,2)&lt;&gt;$E295,"Drive minutes per visit: use up to 2 decimal places. ",IF($E295&gt;600,"Drive minutes per visit: use 600 or less. ","")))))&amp;IF($F295="","Drive miles per visit is missing. ",IF(NOT(ISNUMBER($F295)),"Drive miles per visit must be a number. ",IF($F295&lt;0,"Drive miles per visit can't be negative. ",IF(ROUND($F295,2)&lt;&gt;$F295,"Drive miles per visit: use up to 2 decimal places. ",IF($F295&gt;1000,"Drive miles per visit: use 1,000 or less. ","")))))&amp;IF($G295="","Chemicals per visit is missing. ",IF(NOT(ISNUMBER($G295)),"Chemicals per visit must be a number. ",IF($G295&lt;0,"Chemicals per visit can't be negative. ",IF(ROUND($G295,2)&lt;&gt;$G295,"Chemicals per visit: use up to 2 decimal places. ",IF($G295&gt;9999.99,"Chemicals per visit: use 9,999.99 or less. ","")))))&amp;IF($H295="","Other monthly costs is missing. ",IF(NOT(ISNUMBER($H295)),"Other monthly costs must be a number. ",IF($H295&lt;0,"Other monthly costs can't be negative. ",IF(ROUND($H295,2)&lt;&gt;$H295,"Other monthly costs: use up to 2 decimal places. ",IF($H295&gt;99999.99,"Other monthly costs: use 99,999.99 or less. ","")))))&amp;IF(SettingsOK,"","Settings incomplete.")))</f>
        <v/>
      </c>
      <c r="T295" s="23" t="str">
        <f aca="false">IF(AND($A295="",$B295="",$C295="",$D295="",$E295="",$F295="",$G295="",$H295=""),"",IF(Review!$B$5="Check inputs",IF($R295="Check inputs",ROW(),""),IF($R295="Check inputs",IF(Review!$B$5="All accounts",-2000000000000000+ROW(),""),IF(AND(Review!$B$5="Needs review",$R295="Meets your target"),"",IF($R295="No fee entered",-1000000000000000+ROW(),$N295/$B295+ROW()/1000000000)))))</f>
        <v/>
      </c>
    </row>
    <row r="296" customFormat="false" ht="15" hidden="false" customHeight="false" outlineLevel="0" collapsed="false">
      <c r="A296" s="14"/>
      <c r="B296" s="15"/>
      <c r="C296" s="16"/>
      <c r="D296" s="14"/>
      <c r="E296" s="14"/>
      <c r="F296" s="14"/>
      <c r="G296" s="15"/>
      <c r="H296" s="15"/>
      <c r="I296" s="17" t="str">
        <f aca="false">IF(OR(AND($A296="",$B296="",$C296="",$D296="",$E296="",$F296="",$G296="",$H296=""),NOT($S296="")),"",ROUND($C296*($D296+$E296)/60,4))</f>
        <v/>
      </c>
      <c r="J296" s="18" t="str">
        <f aca="false">IF(OR(AND($A296="",$B296="",$C296="",$D296="",$E296="",$F296="",$G296="",$H296=""),NOT($S296="")),"",ROUND(ROUND($C296*($D296+$E296)/60*$B$5,9),2))</f>
        <v/>
      </c>
      <c r="K296" s="18" t="str">
        <f aca="false">IF(OR(AND($A296="",$B296="",$C296="",$D296="",$E296="",$F296="",$G296="",$H296=""),NOT($S296="")),"",ROUND(ROUND($C296*$F296*$B$6,9),2))</f>
        <v/>
      </c>
      <c r="L296" s="18" t="str">
        <f aca="false">IF(OR(AND($A296="",$B296="",$C296="",$D296="",$E296="",$F296="",$G296="",$H296=""),NOT($S296="")),"",ROUND(ROUND($C296*$G296,9),2))</f>
        <v/>
      </c>
      <c r="M296" s="19" t="str">
        <f aca="false">IF(OR(AND($A296="",$B296="",$C296="",$D296="",$E296="",$F296="",$G296="",$H296=""),NOT($S296="")),"",ROUND($J296+$K296+$L296+$H296,2))</f>
        <v/>
      </c>
      <c r="N296" s="19" t="str">
        <f aca="false">IF(OR(AND($A296="",$B296="",$C296="",$D296="",$E296="",$F296="",$G296="",$H296=""),NOT($S296="")),"",ROUND($B296-$M296,2))</f>
        <v/>
      </c>
      <c r="O296" s="20" t="str">
        <f aca="false">IF(OR(AND($A296="",$B296="",$C296="",$D296="",$E296="",$F296="",$G296="",$H296=""),NOT($S296="")),"",IF($B296=0,"n/a",INT(ROUND($N296/$B296*10000,6))/10000))</f>
        <v/>
      </c>
      <c r="P296" s="18" t="str">
        <f aca="false">IF(OR(AND($A296="",$B296="",$C296="",$D296="",$E296="",$F296="",$G296="",$H296=""),NOT($S296="")),"",ROUNDUP(ROUND($M296*10000/(10000-TargetH),9),2))</f>
        <v/>
      </c>
      <c r="Q296" s="18" t="str">
        <f aca="false">IF(OR(AND($A296="",$B296="",$C296="",$D296="",$E296="",$F296="",$G296="",$H296=""),NOT($S296="")),"",MAX(0,ROUND($P296-$B296,2)))</f>
        <v/>
      </c>
      <c r="R296" s="21" t="str">
        <f aca="false">IF(AND($A296="",$B296="",$C296="",$D296="",$E296="",$F296="",$G296="",$H296=""),"",IF(NOT($S296=""),"Check inputs",IF($B296=0,"No fee entered",IF($N296&lt;0,"Losing money on entered costs",IF(ROUND($N296*100,0)*10000&lt;TargetH*ROUND($B296*100,0),"Below your target","Meets your target")))))</f>
        <v/>
      </c>
      <c r="S296" s="22" t="str">
        <f aca="false">IF(AND($A296="",$B296="",$C296="",$D296="",$E296="",$F296="",$G296="",$H296=""),"",TRIM(IF($A296="","Customer/site label is missing. ","")&amp;IF($B296="","Monthly fee is missing. ",IF(NOT(ISNUMBER($B296)),"Monthly fee must be a number. ",IF($B296&lt;0,"Monthly fee can't be negative. ",IF(ROUND($B296,2)&lt;&gt;$B296,"Monthly fee: use up to 2 decimal places. ",IF($B296&gt;99999.99,"Monthly fee: use 99,999.99 or less. ","")))))&amp;IF($C296="","Visits per month is missing. ",IF(NOT(ISNUMBER($C296)),"Visits per month must be a number. ",IF($C296&lt;0,"Visits per month can't be negative. ",IF(ROUND($C296,3)&lt;&gt;$C296,"Visits per month: use up to 3 decimal places. ",IF($C296=0,"Visits per month must be more than 0. ",IF($C296&gt;31,"Visits per month: use 31 or less. ",""))))))&amp;IF($D296="","Service minutes per visit is missing. ",IF(NOT(ISNUMBER($D296)),"Service minutes per visit must be a number. ",IF($D296&lt;0,"Service minutes per visit can't be negative. ",IF(ROUND($D296,2)&lt;&gt;$D296,"Service minutes per visit: use up to 2 decimal places. ",IF($D296=0,"Service minutes per visit must be more than 0. ",IF($D296&gt;600,"Service minutes per visit: use 600 or less. ",""))))))&amp;IF($E296="","Drive minutes per visit is missing. ",IF(NOT(ISNUMBER($E296)),"Drive minutes per visit must be a number. ",IF($E296&lt;0,"Drive minutes per visit can't be negative. ",IF(ROUND($E296,2)&lt;&gt;$E296,"Drive minutes per visit: use up to 2 decimal places. ",IF($E296&gt;600,"Drive minutes per visit: use 600 or less. ","")))))&amp;IF($F296="","Drive miles per visit is missing. ",IF(NOT(ISNUMBER($F296)),"Drive miles per visit must be a number. ",IF($F296&lt;0,"Drive miles per visit can't be negative. ",IF(ROUND($F296,2)&lt;&gt;$F296,"Drive miles per visit: use up to 2 decimal places. ",IF($F296&gt;1000,"Drive miles per visit: use 1,000 or less. ","")))))&amp;IF($G296="","Chemicals per visit is missing. ",IF(NOT(ISNUMBER($G296)),"Chemicals per visit must be a number. ",IF($G296&lt;0,"Chemicals per visit can't be negative. ",IF(ROUND($G296,2)&lt;&gt;$G296,"Chemicals per visit: use up to 2 decimal places. ",IF($G296&gt;9999.99,"Chemicals per visit: use 9,999.99 or less. ","")))))&amp;IF($H296="","Other monthly costs is missing. ",IF(NOT(ISNUMBER($H296)),"Other monthly costs must be a number. ",IF($H296&lt;0,"Other monthly costs can't be negative. ",IF(ROUND($H296,2)&lt;&gt;$H296,"Other monthly costs: use up to 2 decimal places. ",IF($H296&gt;99999.99,"Other monthly costs: use 99,999.99 or less. ","")))))&amp;IF(SettingsOK,"","Settings incomplete.")))</f>
        <v/>
      </c>
      <c r="T296" s="23" t="str">
        <f aca="false">IF(AND($A296="",$B296="",$C296="",$D296="",$E296="",$F296="",$G296="",$H296=""),"",IF(Review!$B$5="Check inputs",IF($R296="Check inputs",ROW(),""),IF($R296="Check inputs",IF(Review!$B$5="All accounts",-2000000000000000+ROW(),""),IF(AND(Review!$B$5="Needs review",$R296="Meets your target"),"",IF($R296="No fee entered",-1000000000000000+ROW(),$N296/$B296+ROW()/1000000000)))))</f>
        <v/>
      </c>
    </row>
    <row r="297" customFormat="false" ht="15" hidden="false" customHeight="false" outlineLevel="0" collapsed="false">
      <c r="A297" s="14"/>
      <c r="B297" s="15"/>
      <c r="C297" s="16"/>
      <c r="D297" s="14"/>
      <c r="E297" s="14"/>
      <c r="F297" s="14"/>
      <c r="G297" s="15"/>
      <c r="H297" s="15"/>
      <c r="I297" s="17" t="str">
        <f aca="false">IF(OR(AND($A297="",$B297="",$C297="",$D297="",$E297="",$F297="",$G297="",$H297=""),NOT($S297="")),"",ROUND($C297*($D297+$E297)/60,4))</f>
        <v/>
      </c>
      <c r="J297" s="18" t="str">
        <f aca="false">IF(OR(AND($A297="",$B297="",$C297="",$D297="",$E297="",$F297="",$G297="",$H297=""),NOT($S297="")),"",ROUND(ROUND($C297*($D297+$E297)/60*$B$5,9),2))</f>
        <v/>
      </c>
      <c r="K297" s="18" t="str">
        <f aca="false">IF(OR(AND($A297="",$B297="",$C297="",$D297="",$E297="",$F297="",$G297="",$H297=""),NOT($S297="")),"",ROUND(ROUND($C297*$F297*$B$6,9),2))</f>
        <v/>
      </c>
      <c r="L297" s="18" t="str">
        <f aca="false">IF(OR(AND($A297="",$B297="",$C297="",$D297="",$E297="",$F297="",$G297="",$H297=""),NOT($S297="")),"",ROUND(ROUND($C297*$G297,9),2))</f>
        <v/>
      </c>
      <c r="M297" s="19" t="str">
        <f aca="false">IF(OR(AND($A297="",$B297="",$C297="",$D297="",$E297="",$F297="",$G297="",$H297=""),NOT($S297="")),"",ROUND($J297+$K297+$L297+$H297,2))</f>
        <v/>
      </c>
      <c r="N297" s="19" t="str">
        <f aca="false">IF(OR(AND($A297="",$B297="",$C297="",$D297="",$E297="",$F297="",$G297="",$H297=""),NOT($S297="")),"",ROUND($B297-$M297,2))</f>
        <v/>
      </c>
      <c r="O297" s="20" t="str">
        <f aca="false">IF(OR(AND($A297="",$B297="",$C297="",$D297="",$E297="",$F297="",$G297="",$H297=""),NOT($S297="")),"",IF($B297=0,"n/a",INT(ROUND($N297/$B297*10000,6))/10000))</f>
        <v/>
      </c>
      <c r="P297" s="18" t="str">
        <f aca="false">IF(OR(AND($A297="",$B297="",$C297="",$D297="",$E297="",$F297="",$G297="",$H297=""),NOT($S297="")),"",ROUNDUP(ROUND($M297*10000/(10000-TargetH),9),2))</f>
        <v/>
      </c>
      <c r="Q297" s="18" t="str">
        <f aca="false">IF(OR(AND($A297="",$B297="",$C297="",$D297="",$E297="",$F297="",$G297="",$H297=""),NOT($S297="")),"",MAX(0,ROUND($P297-$B297,2)))</f>
        <v/>
      </c>
      <c r="R297" s="21" t="str">
        <f aca="false">IF(AND($A297="",$B297="",$C297="",$D297="",$E297="",$F297="",$G297="",$H297=""),"",IF(NOT($S297=""),"Check inputs",IF($B297=0,"No fee entered",IF($N297&lt;0,"Losing money on entered costs",IF(ROUND($N297*100,0)*10000&lt;TargetH*ROUND($B297*100,0),"Below your target","Meets your target")))))</f>
        <v/>
      </c>
      <c r="S297" s="22" t="str">
        <f aca="false">IF(AND($A297="",$B297="",$C297="",$D297="",$E297="",$F297="",$G297="",$H297=""),"",TRIM(IF($A297="","Customer/site label is missing. ","")&amp;IF($B297="","Monthly fee is missing. ",IF(NOT(ISNUMBER($B297)),"Monthly fee must be a number. ",IF($B297&lt;0,"Monthly fee can't be negative. ",IF(ROUND($B297,2)&lt;&gt;$B297,"Monthly fee: use up to 2 decimal places. ",IF($B297&gt;99999.99,"Monthly fee: use 99,999.99 or less. ","")))))&amp;IF($C297="","Visits per month is missing. ",IF(NOT(ISNUMBER($C297)),"Visits per month must be a number. ",IF($C297&lt;0,"Visits per month can't be negative. ",IF(ROUND($C297,3)&lt;&gt;$C297,"Visits per month: use up to 3 decimal places. ",IF($C297=0,"Visits per month must be more than 0. ",IF($C297&gt;31,"Visits per month: use 31 or less. ",""))))))&amp;IF($D297="","Service minutes per visit is missing. ",IF(NOT(ISNUMBER($D297)),"Service minutes per visit must be a number. ",IF($D297&lt;0,"Service minutes per visit can't be negative. ",IF(ROUND($D297,2)&lt;&gt;$D297,"Service minutes per visit: use up to 2 decimal places. ",IF($D297=0,"Service minutes per visit must be more than 0. ",IF($D297&gt;600,"Service minutes per visit: use 600 or less. ",""))))))&amp;IF($E297="","Drive minutes per visit is missing. ",IF(NOT(ISNUMBER($E297)),"Drive minutes per visit must be a number. ",IF($E297&lt;0,"Drive minutes per visit can't be negative. ",IF(ROUND($E297,2)&lt;&gt;$E297,"Drive minutes per visit: use up to 2 decimal places. ",IF($E297&gt;600,"Drive minutes per visit: use 600 or less. ","")))))&amp;IF($F297="","Drive miles per visit is missing. ",IF(NOT(ISNUMBER($F297)),"Drive miles per visit must be a number. ",IF($F297&lt;0,"Drive miles per visit can't be negative. ",IF(ROUND($F297,2)&lt;&gt;$F297,"Drive miles per visit: use up to 2 decimal places. ",IF($F297&gt;1000,"Drive miles per visit: use 1,000 or less. ","")))))&amp;IF($G297="","Chemicals per visit is missing. ",IF(NOT(ISNUMBER($G297)),"Chemicals per visit must be a number. ",IF($G297&lt;0,"Chemicals per visit can't be negative. ",IF(ROUND($G297,2)&lt;&gt;$G297,"Chemicals per visit: use up to 2 decimal places. ",IF($G297&gt;9999.99,"Chemicals per visit: use 9,999.99 or less. ","")))))&amp;IF($H297="","Other monthly costs is missing. ",IF(NOT(ISNUMBER($H297)),"Other monthly costs must be a number. ",IF($H297&lt;0,"Other monthly costs can't be negative. ",IF(ROUND($H297,2)&lt;&gt;$H297,"Other monthly costs: use up to 2 decimal places. ",IF($H297&gt;99999.99,"Other monthly costs: use 99,999.99 or less. ","")))))&amp;IF(SettingsOK,"","Settings incomplete.")))</f>
        <v/>
      </c>
      <c r="T297" s="23" t="str">
        <f aca="false">IF(AND($A297="",$B297="",$C297="",$D297="",$E297="",$F297="",$G297="",$H297=""),"",IF(Review!$B$5="Check inputs",IF($R297="Check inputs",ROW(),""),IF($R297="Check inputs",IF(Review!$B$5="All accounts",-2000000000000000+ROW(),""),IF(AND(Review!$B$5="Needs review",$R297="Meets your target"),"",IF($R297="No fee entered",-1000000000000000+ROW(),$N297/$B297+ROW()/1000000000)))))</f>
        <v/>
      </c>
    </row>
    <row r="298" customFormat="false" ht="15" hidden="false" customHeight="false" outlineLevel="0" collapsed="false">
      <c r="A298" s="14"/>
      <c r="B298" s="15"/>
      <c r="C298" s="16"/>
      <c r="D298" s="14"/>
      <c r="E298" s="14"/>
      <c r="F298" s="14"/>
      <c r="G298" s="15"/>
      <c r="H298" s="15"/>
      <c r="I298" s="17" t="str">
        <f aca="false">IF(OR(AND($A298="",$B298="",$C298="",$D298="",$E298="",$F298="",$G298="",$H298=""),NOT($S298="")),"",ROUND($C298*($D298+$E298)/60,4))</f>
        <v/>
      </c>
      <c r="J298" s="18" t="str">
        <f aca="false">IF(OR(AND($A298="",$B298="",$C298="",$D298="",$E298="",$F298="",$G298="",$H298=""),NOT($S298="")),"",ROUND(ROUND($C298*($D298+$E298)/60*$B$5,9),2))</f>
        <v/>
      </c>
      <c r="K298" s="18" t="str">
        <f aca="false">IF(OR(AND($A298="",$B298="",$C298="",$D298="",$E298="",$F298="",$G298="",$H298=""),NOT($S298="")),"",ROUND(ROUND($C298*$F298*$B$6,9),2))</f>
        <v/>
      </c>
      <c r="L298" s="18" t="str">
        <f aca="false">IF(OR(AND($A298="",$B298="",$C298="",$D298="",$E298="",$F298="",$G298="",$H298=""),NOT($S298="")),"",ROUND(ROUND($C298*$G298,9),2))</f>
        <v/>
      </c>
      <c r="M298" s="19" t="str">
        <f aca="false">IF(OR(AND($A298="",$B298="",$C298="",$D298="",$E298="",$F298="",$G298="",$H298=""),NOT($S298="")),"",ROUND($J298+$K298+$L298+$H298,2))</f>
        <v/>
      </c>
      <c r="N298" s="19" t="str">
        <f aca="false">IF(OR(AND($A298="",$B298="",$C298="",$D298="",$E298="",$F298="",$G298="",$H298=""),NOT($S298="")),"",ROUND($B298-$M298,2))</f>
        <v/>
      </c>
      <c r="O298" s="20" t="str">
        <f aca="false">IF(OR(AND($A298="",$B298="",$C298="",$D298="",$E298="",$F298="",$G298="",$H298=""),NOT($S298="")),"",IF($B298=0,"n/a",INT(ROUND($N298/$B298*10000,6))/10000))</f>
        <v/>
      </c>
      <c r="P298" s="18" t="str">
        <f aca="false">IF(OR(AND($A298="",$B298="",$C298="",$D298="",$E298="",$F298="",$G298="",$H298=""),NOT($S298="")),"",ROUNDUP(ROUND($M298*10000/(10000-TargetH),9),2))</f>
        <v/>
      </c>
      <c r="Q298" s="18" t="str">
        <f aca="false">IF(OR(AND($A298="",$B298="",$C298="",$D298="",$E298="",$F298="",$G298="",$H298=""),NOT($S298="")),"",MAX(0,ROUND($P298-$B298,2)))</f>
        <v/>
      </c>
      <c r="R298" s="21" t="str">
        <f aca="false">IF(AND($A298="",$B298="",$C298="",$D298="",$E298="",$F298="",$G298="",$H298=""),"",IF(NOT($S298=""),"Check inputs",IF($B298=0,"No fee entered",IF($N298&lt;0,"Losing money on entered costs",IF(ROUND($N298*100,0)*10000&lt;TargetH*ROUND($B298*100,0),"Below your target","Meets your target")))))</f>
        <v/>
      </c>
      <c r="S298" s="22" t="str">
        <f aca="false">IF(AND($A298="",$B298="",$C298="",$D298="",$E298="",$F298="",$G298="",$H298=""),"",TRIM(IF($A298="","Customer/site label is missing. ","")&amp;IF($B298="","Monthly fee is missing. ",IF(NOT(ISNUMBER($B298)),"Monthly fee must be a number. ",IF($B298&lt;0,"Monthly fee can't be negative. ",IF(ROUND($B298,2)&lt;&gt;$B298,"Monthly fee: use up to 2 decimal places. ",IF($B298&gt;99999.99,"Monthly fee: use 99,999.99 or less. ","")))))&amp;IF($C298="","Visits per month is missing. ",IF(NOT(ISNUMBER($C298)),"Visits per month must be a number. ",IF($C298&lt;0,"Visits per month can't be negative. ",IF(ROUND($C298,3)&lt;&gt;$C298,"Visits per month: use up to 3 decimal places. ",IF($C298=0,"Visits per month must be more than 0. ",IF($C298&gt;31,"Visits per month: use 31 or less. ",""))))))&amp;IF($D298="","Service minutes per visit is missing. ",IF(NOT(ISNUMBER($D298)),"Service minutes per visit must be a number. ",IF($D298&lt;0,"Service minutes per visit can't be negative. ",IF(ROUND($D298,2)&lt;&gt;$D298,"Service minutes per visit: use up to 2 decimal places. ",IF($D298=0,"Service minutes per visit must be more than 0. ",IF($D298&gt;600,"Service minutes per visit: use 600 or less. ",""))))))&amp;IF($E298="","Drive minutes per visit is missing. ",IF(NOT(ISNUMBER($E298)),"Drive minutes per visit must be a number. ",IF($E298&lt;0,"Drive minutes per visit can't be negative. ",IF(ROUND($E298,2)&lt;&gt;$E298,"Drive minutes per visit: use up to 2 decimal places. ",IF($E298&gt;600,"Drive minutes per visit: use 600 or less. ","")))))&amp;IF($F298="","Drive miles per visit is missing. ",IF(NOT(ISNUMBER($F298)),"Drive miles per visit must be a number. ",IF($F298&lt;0,"Drive miles per visit can't be negative. ",IF(ROUND($F298,2)&lt;&gt;$F298,"Drive miles per visit: use up to 2 decimal places. ",IF($F298&gt;1000,"Drive miles per visit: use 1,000 or less. ","")))))&amp;IF($G298="","Chemicals per visit is missing. ",IF(NOT(ISNUMBER($G298)),"Chemicals per visit must be a number. ",IF($G298&lt;0,"Chemicals per visit can't be negative. ",IF(ROUND($G298,2)&lt;&gt;$G298,"Chemicals per visit: use up to 2 decimal places. ",IF($G298&gt;9999.99,"Chemicals per visit: use 9,999.99 or less. ","")))))&amp;IF($H298="","Other monthly costs is missing. ",IF(NOT(ISNUMBER($H298)),"Other monthly costs must be a number. ",IF($H298&lt;0,"Other monthly costs can't be negative. ",IF(ROUND($H298,2)&lt;&gt;$H298,"Other monthly costs: use up to 2 decimal places. ",IF($H298&gt;99999.99,"Other monthly costs: use 99,999.99 or less. ","")))))&amp;IF(SettingsOK,"","Settings incomplete.")))</f>
        <v/>
      </c>
      <c r="T298" s="23" t="str">
        <f aca="false">IF(AND($A298="",$B298="",$C298="",$D298="",$E298="",$F298="",$G298="",$H298=""),"",IF(Review!$B$5="Check inputs",IF($R298="Check inputs",ROW(),""),IF($R298="Check inputs",IF(Review!$B$5="All accounts",-2000000000000000+ROW(),""),IF(AND(Review!$B$5="Needs review",$R298="Meets your target"),"",IF($R298="No fee entered",-1000000000000000+ROW(),$N298/$B298+ROW()/1000000000)))))</f>
        <v/>
      </c>
    </row>
    <row r="299" customFormat="false" ht="15" hidden="false" customHeight="false" outlineLevel="0" collapsed="false">
      <c r="A299" s="14"/>
      <c r="B299" s="15"/>
      <c r="C299" s="16"/>
      <c r="D299" s="14"/>
      <c r="E299" s="14"/>
      <c r="F299" s="14"/>
      <c r="G299" s="15"/>
      <c r="H299" s="15"/>
      <c r="I299" s="17" t="str">
        <f aca="false">IF(OR(AND($A299="",$B299="",$C299="",$D299="",$E299="",$F299="",$G299="",$H299=""),NOT($S299="")),"",ROUND($C299*($D299+$E299)/60,4))</f>
        <v/>
      </c>
      <c r="J299" s="18" t="str">
        <f aca="false">IF(OR(AND($A299="",$B299="",$C299="",$D299="",$E299="",$F299="",$G299="",$H299=""),NOT($S299="")),"",ROUND(ROUND($C299*($D299+$E299)/60*$B$5,9),2))</f>
        <v/>
      </c>
      <c r="K299" s="18" t="str">
        <f aca="false">IF(OR(AND($A299="",$B299="",$C299="",$D299="",$E299="",$F299="",$G299="",$H299=""),NOT($S299="")),"",ROUND(ROUND($C299*$F299*$B$6,9),2))</f>
        <v/>
      </c>
      <c r="L299" s="18" t="str">
        <f aca="false">IF(OR(AND($A299="",$B299="",$C299="",$D299="",$E299="",$F299="",$G299="",$H299=""),NOT($S299="")),"",ROUND(ROUND($C299*$G299,9),2))</f>
        <v/>
      </c>
      <c r="M299" s="19" t="str">
        <f aca="false">IF(OR(AND($A299="",$B299="",$C299="",$D299="",$E299="",$F299="",$G299="",$H299=""),NOT($S299="")),"",ROUND($J299+$K299+$L299+$H299,2))</f>
        <v/>
      </c>
      <c r="N299" s="19" t="str">
        <f aca="false">IF(OR(AND($A299="",$B299="",$C299="",$D299="",$E299="",$F299="",$G299="",$H299=""),NOT($S299="")),"",ROUND($B299-$M299,2))</f>
        <v/>
      </c>
      <c r="O299" s="20" t="str">
        <f aca="false">IF(OR(AND($A299="",$B299="",$C299="",$D299="",$E299="",$F299="",$G299="",$H299=""),NOT($S299="")),"",IF($B299=0,"n/a",INT(ROUND($N299/$B299*10000,6))/10000))</f>
        <v/>
      </c>
      <c r="P299" s="18" t="str">
        <f aca="false">IF(OR(AND($A299="",$B299="",$C299="",$D299="",$E299="",$F299="",$G299="",$H299=""),NOT($S299="")),"",ROUNDUP(ROUND($M299*10000/(10000-TargetH),9),2))</f>
        <v/>
      </c>
      <c r="Q299" s="18" t="str">
        <f aca="false">IF(OR(AND($A299="",$B299="",$C299="",$D299="",$E299="",$F299="",$G299="",$H299=""),NOT($S299="")),"",MAX(0,ROUND($P299-$B299,2)))</f>
        <v/>
      </c>
      <c r="R299" s="21" t="str">
        <f aca="false">IF(AND($A299="",$B299="",$C299="",$D299="",$E299="",$F299="",$G299="",$H299=""),"",IF(NOT($S299=""),"Check inputs",IF($B299=0,"No fee entered",IF($N299&lt;0,"Losing money on entered costs",IF(ROUND($N299*100,0)*10000&lt;TargetH*ROUND($B299*100,0),"Below your target","Meets your target")))))</f>
        <v/>
      </c>
      <c r="S299" s="22" t="str">
        <f aca="false">IF(AND($A299="",$B299="",$C299="",$D299="",$E299="",$F299="",$G299="",$H299=""),"",TRIM(IF($A299="","Customer/site label is missing. ","")&amp;IF($B299="","Monthly fee is missing. ",IF(NOT(ISNUMBER($B299)),"Monthly fee must be a number. ",IF($B299&lt;0,"Monthly fee can't be negative. ",IF(ROUND($B299,2)&lt;&gt;$B299,"Monthly fee: use up to 2 decimal places. ",IF($B299&gt;99999.99,"Monthly fee: use 99,999.99 or less. ","")))))&amp;IF($C299="","Visits per month is missing. ",IF(NOT(ISNUMBER($C299)),"Visits per month must be a number. ",IF($C299&lt;0,"Visits per month can't be negative. ",IF(ROUND($C299,3)&lt;&gt;$C299,"Visits per month: use up to 3 decimal places. ",IF($C299=0,"Visits per month must be more than 0. ",IF($C299&gt;31,"Visits per month: use 31 or less. ",""))))))&amp;IF($D299="","Service minutes per visit is missing. ",IF(NOT(ISNUMBER($D299)),"Service minutes per visit must be a number. ",IF($D299&lt;0,"Service minutes per visit can't be negative. ",IF(ROUND($D299,2)&lt;&gt;$D299,"Service minutes per visit: use up to 2 decimal places. ",IF($D299=0,"Service minutes per visit must be more than 0. ",IF($D299&gt;600,"Service minutes per visit: use 600 or less. ",""))))))&amp;IF($E299="","Drive minutes per visit is missing. ",IF(NOT(ISNUMBER($E299)),"Drive minutes per visit must be a number. ",IF($E299&lt;0,"Drive minutes per visit can't be negative. ",IF(ROUND($E299,2)&lt;&gt;$E299,"Drive minutes per visit: use up to 2 decimal places. ",IF($E299&gt;600,"Drive minutes per visit: use 600 or less. ","")))))&amp;IF($F299="","Drive miles per visit is missing. ",IF(NOT(ISNUMBER($F299)),"Drive miles per visit must be a number. ",IF($F299&lt;0,"Drive miles per visit can't be negative. ",IF(ROUND($F299,2)&lt;&gt;$F299,"Drive miles per visit: use up to 2 decimal places. ",IF($F299&gt;1000,"Drive miles per visit: use 1,000 or less. ","")))))&amp;IF($G299="","Chemicals per visit is missing. ",IF(NOT(ISNUMBER($G299)),"Chemicals per visit must be a number. ",IF($G299&lt;0,"Chemicals per visit can't be negative. ",IF(ROUND($G299,2)&lt;&gt;$G299,"Chemicals per visit: use up to 2 decimal places. ",IF($G299&gt;9999.99,"Chemicals per visit: use 9,999.99 or less. ","")))))&amp;IF($H299="","Other monthly costs is missing. ",IF(NOT(ISNUMBER($H299)),"Other monthly costs must be a number. ",IF($H299&lt;0,"Other monthly costs can't be negative. ",IF(ROUND($H299,2)&lt;&gt;$H299,"Other monthly costs: use up to 2 decimal places. ",IF($H299&gt;99999.99,"Other monthly costs: use 99,999.99 or less. ","")))))&amp;IF(SettingsOK,"","Settings incomplete.")))</f>
        <v/>
      </c>
      <c r="T299" s="23" t="str">
        <f aca="false">IF(AND($A299="",$B299="",$C299="",$D299="",$E299="",$F299="",$G299="",$H299=""),"",IF(Review!$B$5="Check inputs",IF($R299="Check inputs",ROW(),""),IF($R299="Check inputs",IF(Review!$B$5="All accounts",-2000000000000000+ROW(),""),IF(AND(Review!$B$5="Needs review",$R299="Meets your target"),"",IF($R299="No fee entered",-1000000000000000+ROW(),$N299/$B299+ROW()/1000000000)))))</f>
        <v/>
      </c>
    </row>
    <row r="300" customFormat="false" ht="15" hidden="false" customHeight="false" outlineLevel="0" collapsed="false">
      <c r="A300" s="14"/>
      <c r="B300" s="15"/>
      <c r="C300" s="16"/>
      <c r="D300" s="14"/>
      <c r="E300" s="14"/>
      <c r="F300" s="14"/>
      <c r="G300" s="15"/>
      <c r="H300" s="15"/>
      <c r="I300" s="17" t="str">
        <f aca="false">IF(OR(AND($A300="",$B300="",$C300="",$D300="",$E300="",$F300="",$G300="",$H300=""),NOT($S300="")),"",ROUND($C300*($D300+$E300)/60,4))</f>
        <v/>
      </c>
      <c r="J300" s="18" t="str">
        <f aca="false">IF(OR(AND($A300="",$B300="",$C300="",$D300="",$E300="",$F300="",$G300="",$H300=""),NOT($S300="")),"",ROUND(ROUND($C300*($D300+$E300)/60*$B$5,9),2))</f>
        <v/>
      </c>
      <c r="K300" s="18" t="str">
        <f aca="false">IF(OR(AND($A300="",$B300="",$C300="",$D300="",$E300="",$F300="",$G300="",$H300=""),NOT($S300="")),"",ROUND(ROUND($C300*$F300*$B$6,9),2))</f>
        <v/>
      </c>
      <c r="L300" s="18" t="str">
        <f aca="false">IF(OR(AND($A300="",$B300="",$C300="",$D300="",$E300="",$F300="",$G300="",$H300=""),NOT($S300="")),"",ROUND(ROUND($C300*$G300,9),2))</f>
        <v/>
      </c>
      <c r="M300" s="19" t="str">
        <f aca="false">IF(OR(AND($A300="",$B300="",$C300="",$D300="",$E300="",$F300="",$G300="",$H300=""),NOT($S300="")),"",ROUND($J300+$K300+$L300+$H300,2))</f>
        <v/>
      </c>
      <c r="N300" s="19" t="str">
        <f aca="false">IF(OR(AND($A300="",$B300="",$C300="",$D300="",$E300="",$F300="",$G300="",$H300=""),NOT($S300="")),"",ROUND($B300-$M300,2))</f>
        <v/>
      </c>
      <c r="O300" s="20" t="str">
        <f aca="false">IF(OR(AND($A300="",$B300="",$C300="",$D300="",$E300="",$F300="",$G300="",$H300=""),NOT($S300="")),"",IF($B300=0,"n/a",INT(ROUND($N300/$B300*10000,6))/10000))</f>
        <v/>
      </c>
      <c r="P300" s="18" t="str">
        <f aca="false">IF(OR(AND($A300="",$B300="",$C300="",$D300="",$E300="",$F300="",$G300="",$H300=""),NOT($S300="")),"",ROUNDUP(ROUND($M300*10000/(10000-TargetH),9),2))</f>
        <v/>
      </c>
      <c r="Q300" s="18" t="str">
        <f aca="false">IF(OR(AND($A300="",$B300="",$C300="",$D300="",$E300="",$F300="",$G300="",$H300=""),NOT($S300="")),"",MAX(0,ROUND($P300-$B300,2)))</f>
        <v/>
      </c>
      <c r="R300" s="21" t="str">
        <f aca="false">IF(AND($A300="",$B300="",$C300="",$D300="",$E300="",$F300="",$G300="",$H300=""),"",IF(NOT($S300=""),"Check inputs",IF($B300=0,"No fee entered",IF($N300&lt;0,"Losing money on entered costs",IF(ROUND($N300*100,0)*10000&lt;TargetH*ROUND($B300*100,0),"Below your target","Meets your target")))))</f>
        <v/>
      </c>
      <c r="S300" s="22" t="str">
        <f aca="false">IF(AND($A300="",$B300="",$C300="",$D300="",$E300="",$F300="",$G300="",$H300=""),"",TRIM(IF($A300="","Customer/site label is missing. ","")&amp;IF($B300="","Monthly fee is missing. ",IF(NOT(ISNUMBER($B300)),"Monthly fee must be a number. ",IF($B300&lt;0,"Monthly fee can't be negative. ",IF(ROUND($B300,2)&lt;&gt;$B300,"Monthly fee: use up to 2 decimal places. ",IF($B300&gt;99999.99,"Monthly fee: use 99,999.99 or less. ","")))))&amp;IF($C300="","Visits per month is missing. ",IF(NOT(ISNUMBER($C300)),"Visits per month must be a number. ",IF($C300&lt;0,"Visits per month can't be negative. ",IF(ROUND($C300,3)&lt;&gt;$C300,"Visits per month: use up to 3 decimal places. ",IF($C300=0,"Visits per month must be more than 0. ",IF($C300&gt;31,"Visits per month: use 31 or less. ",""))))))&amp;IF($D300="","Service minutes per visit is missing. ",IF(NOT(ISNUMBER($D300)),"Service minutes per visit must be a number. ",IF($D300&lt;0,"Service minutes per visit can't be negative. ",IF(ROUND($D300,2)&lt;&gt;$D300,"Service minutes per visit: use up to 2 decimal places. ",IF($D300=0,"Service minutes per visit must be more than 0. ",IF($D300&gt;600,"Service minutes per visit: use 600 or less. ",""))))))&amp;IF($E300="","Drive minutes per visit is missing. ",IF(NOT(ISNUMBER($E300)),"Drive minutes per visit must be a number. ",IF($E300&lt;0,"Drive minutes per visit can't be negative. ",IF(ROUND($E300,2)&lt;&gt;$E300,"Drive minutes per visit: use up to 2 decimal places. ",IF($E300&gt;600,"Drive minutes per visit: use 600 or less. ","")))))&amp;IF($F300="","Drive miles per visit is missing. ",IF(NOT(ISNUMBER($F300)),"Drive miles per visit must be a number. ",IF($F300&lt;0,"Drive miles per visit can't be negative. ",IF(ROUND($F300,2)&lt;&gt;$F300,"Drive miles per visit: use up to 2 decimal places. ",IF($F300&gt;1000,"Drive miles per visit: use 1,000 or less. ","")))))&amp;IF($G300="","Chemicals per visit is missing. ",IF(NOT(ISNUMBER($G300)),"Chemicals per visit must be a number. ",IF($G300&lt;0,"Chemicals per visit can't be negative. ",IF(ROUND($G300,2)&lt;&gt;$G300,"Chemicals per visit: use up to 2 decimal places. ",IF($G300&gt;9999.99,"Chemicals per visit: use 9,999.99 or less. ","")))))&amp;IF($H300="","Other monthly costs is missing. ",IF(NOT(ISNUMBER($H300)),"Other monthly costs must be a number. ",IF($H300&lt;0,"Other monthly costs can't be negative. ",IF(ROUND($H300,2)&lt;&gt;$H300,"Other monthly costs: use up to 2 decimal places. ",IF($H300&gt;99999.99,"Other monthly costs: use 99,999.99 or less. ","")))))&amp;IF(SettingsOK,"","Settings incomplete.")))</f>
        <v/>
      </c>
      <c r="T300" s="23" t="str">
        <f aca="false">IF(AND($A300="",$B300="",$C300="",$D300="",$E300="",$F300="",$G300="",$H300=""),"",IF(Review!$B$5="Check inputs",IF($R300="Check inputs",ROW(),""),IF($R300="Check inputs",IF(Review!$B$5="All accounts",-2000000000000000+ROW(),""),IF(AND(Review!$B$5="Needs review",$R300="Meets your target"),"",IF($R300="No fee entered",-1000000000000000+ROW(),$N300/$B300+ROW()/1000000000)))))</f>
        <v/>
      </c>
    </row>
    <row r="301" customFormat="false" ht="15" hidden="false" customHeight="false" outlineLevel="0" collapsed="false">
      <c r="A301" s="14"/>
      <c r="B301" s="15"/>
      <c r="C301" s="16"/>
      <c r="D301" s="14"/>
      <c r="E301" s="14"/>
      <c r="F301" s="14"/>
      <c r="G301" s="15"/>
      <c r="H301" s="15"/>
      <c r="I301" s="17" t="str">
        <f aca="false">IF(OR(AND($A301="",$B301="",$C301="",$D301="",$E301="",$F301="",$G301="",$H301=""),NOT($S301="")),"",ROUND($C301*($D301+$E301)/60,4))</f>
        <v/>
      </c>
      <c r="J301" s="18" t="str">
        <f aca="false">IF(OR(AND($A301="",$B301="",$C301="",$D301="",$E301="",$F301="",$G301="",$H301=""),NOT($S301="")),"",ROUND(ROUND($C301*($D301+$E301)/60*$B$5,9),2))</f>
        <v/>
      </c>
      <c r="K301" s="18" t="str">
        <f aca="false">IF(OR(AND($A301="",$B301="",$C301="",$D301="",$E301="",$F301="",$G301="",$H301=""),NOT($S301="")),"",ROUND(ROUND($C301*$F301*$B$6,9),2))</f>
        <v/>
      </c>
      <c r="L301" s="18" t="str">
        <f aca="false">IF(OR(AND($A301="",$B301="",$C301="",$D301="",$E301="",$F301="",$G301="",$H301=""),NOT($S301="")),"",ROUND(ROUND($C301*$G301,9),2))</f>
        <v/>
      </c>
      <c r="M301" s="19" t="str">
        <f aca="false">IF(OR(AND($A301="",$B301="",$C301="",$D301="",$E301="",$F301="",$G301="",$H301=""),NOT($S301="")),"",ROUND($J301+$K301+$L301+$H301,2))</f>
        <v/>
      </c>
      <c r="N301" s="19" t="str">
        <f aca="false">IF(OR(AND($A301="",$B301="",$C301="",$D301="",$E301="",$F301="",$G301="",$H301=""),NOT($S301="")),"",ROUND($B301-$M301,2))</f>
        <v/>
      </c>
      <c r="O301" s="20" t="str">
        <f aca="false">IF(OR(AND($A301="",$B301="",$C301="",$D301="",$E301="",$F301="",$G301="",$H301=""),NOT($S301="")),"",IF($B301=0,"n/a",INT(ROUND($N301/$B301*10000,6))/10000))</f>
        <v/>
      </c>
      <c r="P301" s="18" t="str">
        <f aca="false">IF(OR(AND($A301="",$B301="",$C301="",$D301="",$E301="",$F301="",$G301="",$H301=""),NOT($S301="")),"",ROUNDUP(ROUND($M301*10000/(10000-TargetH),9),2))</f>
        <v/>
      </c>
      <c r="Q301" s="18" t="str">
        <f aca="false">IF(OR(AND($A301="",$B301="",$C301="",$D301="",$E301="",$F301="",$G301="",$H301=""),NOT($S301="")),"",MAX(0,ROUND($P301-$B301,2)))</f>
        <v/>
      </c>
      <c r="R301" s="21" t="str">
        <f aca="false">IF(AND($A301="",$B301="",$C301="",$D301="",$E301="",$F301="",$G301="",$H301=""),"",IF(NOT($S301=""),"Check inputs",IF($B301=0,"No fee entered",IF($N301&lt;0,"Losing money on entered costs",IF(ROUND($N301*100,0)*10000&lt;TargetH*ROUND($B301*100,0),"Below your target","Meets your target")))))</f>
        <v/>
      </c>
      <c r="S301" s="22" t="str">
        <f aca="false">IF(AND($A301="",$B301="",$C301="",$D301="",$E301="",$F301="",$G301="",$H301=""),"",TRIM(IF($A301="","Customer/site label is missing. ","")&amp;IF($B301="","Monthly fee is missing. ",IF(NOT(ISNUMBER($B301)),"Monthly fee must be a number. ",IF($B301&lt;0,"Monthly fee can't be negative. ",IF(ROUND($B301,2)&lt;&gt;$B301,"Monthly fee: use up to 2 decimal places. ",IF($B301&gt;99999.99,"Monthly fee: use 99,999.99 or less. ","")))))&amp;IF($C301="","Visits per month is missing. ",IF(NOT(ISNUMBER($C301)),"Visits per month must be a number. ",IF($C301&lt;0,"Visits per month can't be negative. ",IF(ROUND($C301,3)&lt;&gt;$C301,"Visits per month: use up to 3 decimal places. ",IF($C301=0,"Visits per month must be more than 0. ",IF($C301&gt;31,"Visits per month: use 31 or less. ",""))))))&amp;IF($D301="","Service minutes per visit is missing. ",IF(NOT(ISNUMBER($D301)),"Service minutes per visit must be a number. ",IF($D301&lt;0,"Service minutes per visit can't be negative. ",IF(ROUND($D301,2)&lt;&gt;$D301,"Service minutes per visit: use up to 2 decimal places. ",IF($D301=0,"Service minutes per visit must be more than 0. ",IF($D301&gt;600,"Service minutes per visit: use 600 or less. ",""))))))&amp;IF($E301="","Drive minutes per visit is missing. ",IF(NOT(ISNUMBER($E301)),"Drive minutes per visit must be a number. ",IF($E301&lt;0,"Drive minutes per visit can't be negative. ",IF(ROUND($E301,2)&lt;&gt;$E301,"Drive minutes per visit: use up to 2 decimal places. ",IF($E301&gt;600,"Drive minutes per visit: use 600 or less. ","")))))&amp;IF($F301="","Drive miles per visit is missing. ",IF(NOT(ISNUMBER($F301)),"Drive miles per visit must be a number. ",IF($F301&lt;0,"Drive miles per visit can't be negative. ",IF(ROUND($F301,2)&lt;&gt;$F301,"Drive miles per visit: use up to 2 decimal places. ",IF($F301&gt;1000,"Drive miles per visit: use 1,000 or less. ","")))))&amp;IF($G301="","Chemicals per visit is missing. ",IF(NOT(ISNUMBER($G301)),"Chemicals per visit must be a number. ",IF($G301&lt;0,"Chemicals per visit can't be negative. ",IF(ROUND($G301,2)&lt;&gt;$G301,"Chemicals per visit: use up to 2 decimal places. ",IF($G301&gt;9999.99,"Chemicals per visit: use 9,999.99 or less. ","")))))&amp;IF($H301="","Other monthly costs is missing. ",IF(NOT(ISNUMBER($H301)),"Other monthly costs must be a number. ",IF($H301&lt;0,"Other monthly costs can't be negative. ",IF(ROUND($H301,2)&lt;&gt;$H301,"Other monthly costs: use up to 2 decimal places. ",IF($H301&gt;99999.99,"Other monthly costs: use 99,999.99 or less. ","")))))&amp;IF(SettingsOK,"","Settings incomplete.")))</f>
        <v/>
      </c>
      <c r="T301" s="23" t="str">
        <f aca="false">IF(AND($A301="",$B301="",$C301="",$D301="",$E301="",$F301="",$G301="",$H301=""),"",IF(Review!$B$5="Check inputs",IF($R301="Check inputs",ROW(),""),IF($R301="Check inputs",IF(Review!$B$5="All accounts",-2000000000000000+ROW(),""),IF(AND(Review!$B$5="Needs review",$R301="Meets your target"),"",IF($R301="No fee entered",-1000000000000000+ROW(),$N301/$B301+ROW()/1000000000)))))</f>
        <v/>
      </c>
    </row>
    <row r="302" customFormat="false" ht="15" hidden="false" customHeight="false" outlineLevel="0" collapsed="false">
      <c r="A302" s="14"/>
      <c r="B302" s="15"/>
      <c r="C302" s="16"/>
      <c r="D302" s="14"/>
      <c r="E302" s="14"/>
      <c r="F302" s="14"/>
      <c r="G302" s="15"/>
      <c r="H302" s="15"/>
      <c r="I302" s="17" t="str">
        <f aca="false">IF(OR(AND($A302="",$B302="",$C302="",$D302="",$E302="",$F302="",$G302="",$H302=""),NOT($S302="")),"",ROUND($C302*($D302+$E302)/60,4))</f>
        <v/>
      </c>
      <c r="J302" s="18" t="str">
        <f aca="false">IF(OR(AND($A302="",$B302="",$C302="",$D302="",$E302="",$F302="",$G302="",$H302=""),NOT($S302="")),"",ROUND(ROUND($C302*($D302+$E302)/60*$B$5,9),2))</f>
        <v/>
      </c>
      <c r="K302" s="18" t="str">
        <f aca="false">IF(OR(AND($A302="",$B302="",$C302="",$D302="",$E302="",$F302="",$G302="",$H302=""),NOT($S302="")),"",ROUND(ROUND($C302*$F302*$B$6,9),2))</f>
        <v/>
      </c>
      <c r="L302" s="18" t="str">
        <f aca="false">IF(OR(AND($A302="",$B302="",$C302="",$D302="",$E302="",$F302="",$G302="",$H302=""),NOT($S302="")),"",ROUND(ROUND($C302*$G302,9),2))</f>
        <v/>
      </c>
      <c r="M302" s="19" t="str">
        <f aca="false">IF(OR(AND($A302="",$B302="",$C302="",$D302="",$E302="",$F302="",$G302="",$H302=""),NOT($S302="")),"",ROUND($J302+$K302+$L302+$H302,2))</f>
        <v/>
      </c>
      <c r="N302" s="19" t="str">
        <f aca="false">IF(OR(AND($A302="",$B302="",$C302="",$D302="",$E302="",$F302="",$G302="",$H302=""),NOT($S302="")),"",ROUND($B302-$M302,2))</f>
        <v/>
      </c>
      <c r="O302" s="20" t="str">
        <f aca="false">IF(OR(AND($A302="",$B302="",$C302="",$D302="",$E302="",$F302="",$G302="",$H302=""),NOT($S302="")),"",IF($B302=0,"n/a",INT(ROUND($N302/$B302*10000,6))/10000))</f>
        <v/>
      </c>
      <c r="P302" s="18" t="str">
        <f aca="false">IF(OR(AND($A302="",$B302="",$C302="",$D302="",$E302="",$F302="",$G302="",$H302=""),NOT($S302="")),"",ROUNDUP(ROUND($M302*10000/(10000-TargetH),9),2))</f>
        <v/>
      </c>
      <c r="Q302" s="18" t="str">
        <f aca="false">IF(OR(AND($A302="",$B302="",$C302="",$D302="",$E302="",$F302="",$G302="",$H302=""),NOT($S302="")),"",MAX(0,ROUND($P302-$B302,2)))</f>
        <v/>
      </c>
      <c r="R302" s="21" t="str">
        <f aca="false">IF(AND($A302="",$B302="",$C302="",$D302="",$E302="",$F302="",$G302="",$H302=""),"",IF(NOT($S302=""),"Check inputs",IF($B302=0,"No fee entered",IF($N302&lt;0,"Losing money on entered costs",IF(ROUND($N302*100,0)*10000&lt;TargetH*ROUND($B302*100,0),"Below your target","Meets your target")))))</f>
        <v/>
      </c>
      <c r="S302" s="22" t="str">
        <f aca="false">IF(AND($A302="",$B302="",$C302="",$D302="",$E302="",$F302="",$G302="",$H302=""),"",TRIM(IF($A302="","Customer/site label is missing. ","")&amp;IF($B302="","Monthly fee is missing. ",IF(NOT(ISNUMBER($B302)),"Monthly fee must be a number. ",IF($B302&lt;0,"Monthly fee can't be negative. ",IF(ROUND($B302,2)&lt;&gt;$B302,"Monthly fee: use up to 2 decimal places. ",IF($B302&gt;99999.99,"Monthly fee: use 99,999.99 or less. ","")))))&amp;IF($C302="","Visits per month is missing. ",IF(NOT(ISNUMBER($C302)),"Visits per month must be a number. ",IF($C302&lt;0,"Visits per month can't be negative. ",IF(ROUND($C302,3)&lt;&gt;$C302,"Visits per month: use up to 3 decimal places. ",IF($C302=0,"Visits per month must be more than 0. ",IF($C302&gt;31,"Visits per month: use 31 or less. ",""))))))&amp;IF($D302="","Service minutes per visit is missing. ",IF(NOT(ISNUMBER($D302)),"Service minutes per visit must be a number. ",IF($D302&lt;0,"Service minutes per visit can't be negative. ",IF(ROUND($D302,2)&lt;&gt;$D302,"Service minutes per visit: use up to 2 decimal places. ",IF($D302=0,"Service minutes per visit must be more than 0. ",IF($D302&gt;600,"Service minutes per visit: use 600 or less. ",""))))))&amp;IF($E302="","Drive minutes per visit is missing. ",IF(NOT(ISNUMBER($E302)),"Drive minutes per visit must be a number. ",IF($E302&lt;0,"Drive minutes per visit can't be negative. ",IF(ROUND($E302,2)&lt;&gt;$E302,"Drive minutes per visit: use up to 2 decimal places. ",IF($E302&gt;600,"Drive minutes per visit: use 600 or less. ","")))))&amp;IF($F302="","Drive miles per visit is missing. ",IF(NOT(ISNUMBER($F302)),"Drive miles per visit must be a number. ",IF($F302&lt;0,"Drive miles per visit can't be negative. ",IF(ROUND($F302,2)&lt;&gt;$F302,"Drive miles per visit: use up to 2 decimal places. ",IF($F302&gt;1000,"Drive miles per visit: use 1,000 or less. ","")))))&amp;IF($G302="","Chemicals per visit is missing. ",IF(NOT(ISNUMBER($G302)),"Chemicals per visit must be a number. ",IF($G302&lt;0,"Chemicals per visit can't be negative. ",IF(ROUND($G302,2)&lt;&gt;$G302,"Chemicals per visit: use up to 2 decimal places. ",IF($G302&gt;9999.99,"Chemicals per visit: use 9,999.99 or less. ","")))))&amp;IF($H302="","Other monthly costs is missing. ",IF(NOT(ISNUMBER($H302)),"Other monthly costs must be a number. ",IF($H302&lt;0,"Other monthly costs can't be negative. ",IF(ROUND($H302,2)&lt;&gt;$H302,"Other monthly costs: use up to 2 decimal places. ",IF($H302&gt;99999.99,"Other monthly costs: use 99,999.99 or less. ","")))))&amp;IF(SettingsOK,"","Settings incomplete.")))</f>
        <v/>
      </c>
      <c r="T302" s="23" t="str">
        <f aca="false">IF(AND($A302="",$B302="",$C302="",$D302="",$E302="",$F302="",$G302="",$H302=""),"",IF(Review!$B$5="Check inputs",IF($R302="Check inputs",ROW(),""),IF($R302="Check inputs",IF(Review!$B$5="All accounts",-2000000000000000+ROW(),""),IF(AND(Review!$B$5="Needs review",$R302="Meets your target"),"",IF($R302="No fee entered",-1000000000000000+ROW(),$N302/$B302+ROW()/1000000000)))))</f>
        <v/>
      </c>
    </row>
    <row r="303" customFormat="false" ht="15" hidden="false" customHeight="false" outlineLevel="0" collapsed="false">
      <c r="A303" s="14"/>
      <c r="B303" s="15"/>
      <c r="C303" s="16"/>
      <c r="D303" s="14"/>
      <c r="E303" s="14"/>
      <c r="F303" s="14"/>
      <c r="G303" s="15"/>
      <c r="H303" s="15"/>
      <c r="I303" s="17" t="str">
        <f aca="false">IF(OR(AND($A303="",$B303="",$C303="",$D303="",$E303="",$F303="",$G303="",$H303=""),NOT($S303="")),"",ROUND($C303*($D303+$E303)/60,4))</f>
        <v/>
      </c>
      <c r="J303" s="18" t="str">
        <f aca="false">IF(OR(AND($A303="",$B303="",$C303="",$D303="",$E303="",$F303="",$G303="",$H303=""),NOT($S303="")),"",ROUND(ROUND($C303*($D303+$E303)/60*$B$5,9),2))</f>
        <v/>
      </c>
      <c r="K303" s="18" t="str">
        <f aca="false">IF(OR(AND($A303="",$B303="",$C303="",$D303="",$E303="",$F303="",$G303="",$H303=""),NOT($S303="")),"",ROUND(ROUND($C303*$F303*$B$6,9),2))</f>
        <v/>
      </c>
      <c r="L303" s="18" t="str">
        <f aca="false">IF(OR(AND($A303="",$B303="",$C303="",$D303="",$E303="",$F303="",$G303="",$H303=""),NOT($S303="")),"",ROUND(ROUND($C303*$G303,9),2))</f>
        <v/>
      </c>
      <c r="M303" s="19" t="str">
        <f aca="false">IF(OR(AND($A303="",$B303="",$C303="",$D303="",$E303="",$F303="",$G303="",$H303=""),NOT($S303="")),"",ROUND($J303+$K303+$L303+$H303,2))</f>
        <v/>
      </c>
      <c r="N303" s="19" t="str">
        <f aca="false">IF(OR(AND($A303="",$B303="",$C303="",$D303="",$E303="",$F303="",$G303="",$H303=""),NOT($S303="")),"",ROUND($B303-$M303,2))</f>
        <v/>
      </c>
      <c r="O303" s="20" t="str">
        <f aca="false">IF(OR(AND($A303="",$B303="",$C303="",$D303="",$E303="",$F303="",$G303="",$H303=""),NOT($S303="")),"",IF($B303=0,"n/a",INT(ROUND($N303/$B303*10000,6))/10000))</f>
        <v/>
      </c>
      <c r="P303" s="18" t="str">
        <f aca="false">IF(OR(AND($A303="",$B303="",$C303="",$D303="",$E303="",$F303="",$G303="",$H303=""),NOT($S303="")),"",ROUNDUP(ROUND($M303*10000/(10000-TargetH),9),2))</f>
        <v/>
      </c>
      <c r="Q303" s="18" t="str">
        <f aca="false">IF(OR(AND($A303="",$B303="",$C303="",$D303="",$E303="",$F303="",$G303="",$H303=""),NOT($S303="")),"",MAX(0,ROUND($P303-$B303,2)))</f>
        <v/>
      </c>
      <c r="R303" s="21" t="str">
        <f aca="false">IF(AND($A303="",$B303="",$C303="",$D303="",$E303="",$F303="",$G303="",$H303=""),"",IF(NOT($S303=""),"Check inputs",IF($B303=0,"No fee entered",IF($N303&lt;0,"Losing money on entered costs",IF(ROUND($N303*100,0)*10000&lt;TargetH*ROUND($B303*100,0),"Below your target","Meets your target")))))</f>
        <v/>
      </c>
      <c r="S303" s="22" t="str">
        <f aca="false">IF(AND($A303="",$B303="",$C303="",$D303="",$E303="",$F303="",$G303="",$H303=""),"",TRIM(IF($A303="","Customer/site label is missing. ","")&amp;IF($B303="","Monthly fee is missing. ",IF(NOT(ISNUMBER($B303)),"Monthly fee must be a number. ",IF($B303&lt;0,"Monthly fee can't be negative. ",IF(ROUND($B303,2)&lt;&gt;$B303,"Monthly fee: use up to 2 decimal places. ",IF($B303&gt;99999.99,"Monthly fee: use 99,999.99 or less. ","")))))&amp;IF($C303="","Visits per month is missing. ",IF(NOT(ISNUMBER($C303)),"Visits per month must be a number. ",IF($C303&lt;0,"Visits per month can't be negative. ",IF(ROUND($C303,3)&lt;&gt;$C303,"Visits per month: use up to 3 decimal places. ",IF($C303=0,"Visits per month must be more than 0. ",IF($C303&gt;31,"Visits per month: use 31 or less. ",""))))))&amp;IF($D303="","Service minutes per visit is missing. ",IF(NOT(ISNUMBER($D303)),"Service minutes per visit must be a number. ",IF($D303&lt;0,"Service minutes per visit can't be negative. ",IF(ROUND($D303,2)&lt;&gt;$D303,"Service minutes per visit: use up to 2 decimal places. ",IF($D303=0,"Service minutes per visit must be more than 0. ",IF($D303&gt;600,"Service minutes per visit: use 600 or less. ",""))))))&amp;IF($E303="","Drive minutes per visit is missing. ",IF(NOT(ISNUMBER($E303)),"Drive minutes per visit must be a number. ",IF($E303&lt;0,"Drive minutes per visit can't be negative. ",IF(ROUND($E303,2)&lt;&gt;$E303,"Drive minutes per visit: use up to 2 decimal places. ",IF($E303&gt;600,"Drive minutes per visit: use 600 or less. ","")))))&amp;IF($F303="","Drive miles per visit is missing. ",IF(NOT(ISNUMBER($F303)),"Drive miles per visit must be a number. ",IF($F303&lt;0,"Drive miles per visit can't be negative. ",IF(ROUND($F303,2)&lt;&gt;$F303,"Drive miles per visit: use up to 2 decimal places. ",IF($F303&gt;1000,"Drive miles per visit: use 1,000 or less. ","")))))&amp;IF($G303="","Chemicals per visit is missing. ",IF(NOT(ISNUMBER($G303)),"Chemicals per visit must be a number. ",IF($G303&lt;0,"Chemicals per visit can't be negative. ",IF(ROUND($G303,2)&lt;&gt;$G303,"Chemicals per visit: use up to 2 decimal places. ",IF($G303&gt;9999.99,"Chemicals per visit: use 9,999.99 or less. ","")))))&amp;IF($H303="","Other monthly costs is missing. ",IF(NOT(ISNUMBER($H303)),"Other monthly costs must be a number. ",IF($H303&lt;0,"Other monthly costs can't be negative. ",IF(ROUND($H303,2)&lt;&gt;$H303,"Other monthly costs: use up to 2 decimal places. ",IF($H303&gt;99999.99,"Other monthly costs: use 99,999.99 or less. ","")))))&amp;IF(SettingsOK,"","Settings incomplete.")))</f>
        <v/>
      </c>
      <c r="T303" s="23" t="str">
        <f aca="false">IF(AND($A303="",$B303="",$C303="",$D303="",$E303="",$F303="",$G303="",$H303=""),"",IF(Review!$B$5="Check inputs",IF($R303="Check inputs",ROW(),""),IF($R303="Check inputs",IF(Review!$B$5="All accounts",-2000000000000000+ROW(),""),IF(AND(Review!$B$5="Needs review",$R303="Meets your target"),"",IF($R303="No fee entered",-1000000000000000+ROW(),$N303/$B303+ROW()/1000000000)))))</f>
        <v/>
      </c>
    </row>
    <row r="304" customFormat="false" ht="15" hidden="false" customHeight="false" outlineLevel="0" collapsed="false">
      <c r="A304" s="14"/>
      <c r="B304" s="15"/>
      <c r="C304" s="16"/>
      <c r="D304" s="14"/>
      <c r="E304" s="14"/>
      <c r="F304" s="14"/>
      <c r="G304" s="15"/>
      <c r="H304" s="15"/>
      <c r="I304" s="17" t="str">
        <f aca="false">IF(OR(AND($A304="",$B304="",$C304="",$D304="",$E304="",$F304="",$G304="",$H304=""),NOT($S304="")),"",ROUND($C304*($D304+$E304)/60,4))</f>
        <v/>
      </c>
      <c r="J304" s="18" t="str">
        <f aca="false">IF(OR(AND($A304="",$B304="",$C304="",$D304="",$E304="",$F304="",$G304="",$H304=""),NOT($S304="")),"",ROUND(ROUND($C304*($D304+$E304)/60*$B$5,9),2))</f>
        <v/>
      </c>
      <c r="K304" s="18" t="str">
        <f aca="false">IF(OR(AND($A304="",$B304="",$C304="",$D304="",$E304="",$F304="",$G304="",$H304=""),NOT($S304="")),"",ROUND(ROUND($C304*$F304*$B$6,9),2))</f>
        <v/>
      </c>
      <c r="L304" s="18" t="str">
        <f aca="false">IF(OR(AND($A304="",$B304="",$C304="",$D304="",$E304="",$F304="",$G304="",$H304=""),NOT($S304="")),"",ROUND(ROUND($C304*$G304,9),2))</f>
        <v/>
      </c>
      <c r="M304" s="19" t="str">
        <f aca="false">IF(OR(AND($A304="",$B304="",$C304="",$D304="",$E304="",$F304="",$G304="",$H304=""),NOT($S304="")),"",ROUND($J304+$K304+$L304+$H304,2))</f>
        <v/>
      </c>
      <c r="N304" s="19" t="str">
        <f aca="false">IF(OR(AND($A304="",$B304="",$C304="",$D304="",$E304="",$F304="",$G304="",$H304=""),NOT($S304="")),"",ROUND($B304-$M304,2))</f>
        <v/>
      </c>
      <c r="O304" s="20" t="str">
        <f aca="false">IF(OR(AND($A304="",$B304="",$C304="",$D304="",$E304="",$F304="",$G304="",$H304=""),NOT($S304="")),"",IF($B304=0,"n/a",INT(ROUND($N304/$B304*10000,6))/10000))</f>
        <v/>
      </c>
      <c r="P304" s="18" t="str">
        <f aca="false">IF(OR(AND($A304="",$B304="",$C304="",$D304="",$E304="",$F304="",$G304="",$H304=""),NOT($S304="")),"",ROUNDUP(ROUND($M304*10000/(10000-TargetH),9),2))</f>
        <v/>
      </c>
      <c r="Q304" s="18" t="str">
        <f aca="false">IF(OR(AND($A304="",$B304="",$C304="",$D304="",$E304="",$F304="",$G304="",$H304=""),NOT($S304="")),"",MAX(0,ROUND($P304-$B304,2)))</f>
        <v/>
      </c>
      <c r="R304" s="21" t="str">
        <f aca="false">IF(AND($A304="",$B304="",$C304="",$D304="",$E304="",$F304="",$G304="",$H304=""),"",IF(NOT($S304=""),"Check inputs",IF($B304=0,"No fee entered",IF($N304&lt;0,"Losing money on entered costs",IF(ROUND($N304*100,0)*10000&lt;TargetH*ROUND($B304*100,0),"Below your target","Meets your target")))))</f>
        <v/>
      </c>
      <c r="S304" s="22" t="str">
        <f aca="false">IF(AND($A304="",$B304="",$C304="",$D304="",$E304="",$F304="",$G304="",$H304=""),"",TRIM(IF($A304="","Customer/site label is missing. ","")&amp;IF($B304="","Monthly fee is missing. ",IF(NOT(ISNUMBER($B304)),"Monthly fee must be a number. ",IF($B304&lt;0,"Monthly fee can't be negative. ",IF(ROUND($B304,2)&lt;&gt;$B304,"Monthly fee: use up to 2 decimal places. ",IF($B304&gt;99999.99,"Monthly fee: use 99,999.99 or less. ","")))))&amp;IF($C304="","Visits per month is missing. ",IF(NOT(ISNUMBER($C304)),"Visits per month must be a number. ",IF($C304&lt;0,"Visits per month can't be negative. ",IF(ROUND($C304,3)&lt;&gt;$C304,"Visits per month: use up to 3 decimal places. ",IF($C304=0,"Visits per month must be more than 0. ",IF($C304&gt;31,"Visits per month: use 31 or less. ",""))))))&amp;IF($D304="","Service minutes per visit is missing. ",IF(NOT(ISNUMBER($D304)),"Service minutes per visit must be a number. ",IF($D304&lt;0,"Service minutes per visit can't be negative. ",IF(ROUND($D304,2)&lt;&gt;$D304,"Service minutes per visit: use up to 2 decimal places. ",IF($D304=0,"Service minutes per visit must be more than 0. ",IF($D304&gt;600,"Service minutes per visit: use 600 or less. ",""))))))&amp;IF($E304="","Drive minutes per visit is missing. ",IF(NOT(ISNUMBER($E304)),"Drive minutes per visit must be a number. ",IF($E304&lt;0,"Drive minutes per visit can't be negative. ",IF(ROUND($E304,2)&lt;&gt;$E304,"Drive minutes per visit: use up to 2 decimal places. ",IF($E304&gt;600,"Drive minutes per visit: use 600 or less. ","")))))&amp;IF($F304="","Drive miles per visit is missing. ",IF(NOT(ISNUMBER($F304)),"Drive miles per visit must be a number. ",IF($F304&lt;0,"Drive miles per visit can't be negative. ",IF(ROUND($F304,2)&lt;&gt;$F304,"Drive miles per visit: use up to 2 decimal places. ",IF($F304&gt;1000,"Drive miles per visit: use 1,000 or less. ","")))))&amp;IF($G304="","Chemicals per visit is missing. ",IF(NOT(ISNUMBER($G304)),"Chemicals per visit must be a number. ",IF($G304&lt;0,"Chemicals per visit can't be negative. ",IF(ROUND($G304,2)&lt;&gt;$G304,"Chemicals per visit: use up to 2 decimal places. ",IF($G304&gt;9999.99,"Chemicals per visit: use 9,999.99 or less. ","")))))&amp;IF($H304="","Other monthly costs is missing. ",IF(NOT(ISNUMBER($H304)),"Other monthly costs must be a number. ",IF($H304&lt;0,"Other monthly costs can't be negative. ",IF(ROUND($H304,2)&lt;&gt;$H304,"Other monthly costs: use up to 2 decimal places. ",IF($H304&gt;99999.99,"Other monthly costs: use 99,999.99 or less. ","")))))&amp;IF(SettingsOK,"","Settings incomplete.")))</f>
        <v/>
      </c>
      <c r="T304" s="23" t="str">
        <f aca="false">IF(AND($A304="",$B304="",$C304="",$D304="",$E304="",$F304="",$G304="",$H304=""),"",IF(Review!$B$5="Check inputs",IF($R304="Check inputs",ROW(),""),IF($R304="Check inputs",IF(Review!$B$5="All accounts",-2000000000000000+ROW(),""),IF(AND(Review!$B$5="Needs review",$R304="Meets your target"),"",IF($R304="No fee entered",-1000000000000000+ROW(),$N304/$B304+ROW()/1000000000)))))</f>
        <v/>
      </c>
    </row>
    <row r="305" customFormat="false" ht="15" hidden="false" customHeight="false" outlineLevel="0" collapsed="false">
      <c r="A305" s="14"/>
      <c r="B305" s="15"/>
      <c r="C305" s="16"/>
      <c r="D305" s="14"/>
      <c r="E305" s="14"/>
      <c r="F305" s="14"/>
      <c r="G305" s="15"/>
      <c r="H305" s="15"/>
      <c r="I305" s="17" t="str">
        <f aca="false">IF(OR(AND($A305="",$B305="",$C305="",$D305="",$E305="",$F305="",$G305="",$H305=""),NOT($S305="")),"",ROUND($C305*($D305+$E305)/60,4))</f>
        <v/>
      </c>
      <c r="J305" s="18" t="str">
        <f aca="false">IF(OR(AND($A305="",$B305="",$C305="",$D305="",$E305="",$F305="",$G305="",$H305=""),NOT($S305="")),"",ROUND(ROUND($C305*($D305+$E305)/60*$B$5,9),2))</f>
        <v/>
      </c>
      <c r="K305" s="18" t="str">
        <f aca="false">IF(OR(AND($A305="",$B305="",$C305="",$D305="",$E305="",$F305="",$G305="",$H305=""),NOT($S305="")),"",ROUND(ROUND($C305*$F305*$B$6,9),2))</f>
        <v/>
      </c>
      <c r="L305" s="18" t="str">
        <f aca="false">IF(OR(AND($A305="",$B305="",$C305="",$D305="",$E305="",$F305="",$G305="",$H305=""),NOT($S305="")),"",ROUND(ROUND($C305*$G305,9),2))</f>
        <v/>
      </c>
      <c r="M305" s="19" t="str">
        <f aca="false">IF(OR(AND($A305="",$B305="",$C305="",$D305="",$E305="",$F305="",$G305="",$H305=""),NOT($S305="")),"",ROUND($J305+$K305+$L305+$H305,2))</f>
        <v/>
      </c>
      <c r="N305" s="19" t="str">
        <f aca="false">IF(OR(AND($A305="",$B305="",$C305="",$D305="",$E305="",$F305="",$G305="",$H305=""),NOT($S305="")),"",ROUND($B305-$M305,2))</f>
        <v/>
      </c>
      <c r="O305" s="20" t="str">
        <f aca="false">IF(OR(AND($A305="",$B305="",$C305="",$D305="",$E305="",$F305="",$G305="",$H305=""),NOT($S305="")),"",IF($B305=0,"n/a",INT(ROUND($N305/$B305*10000,6))/10000))</f>
        <v/>
      </c>
      <c r="P305" s="18" t="str">
        <f aca="false">IF(OR(AND($A305="",$B305="",$C305="",$D305="",$E305="",$F305="",$G305="",$H305=""),NOT($S305="")),"",ROUNDUP(ROUND($M305*10000/(10000-TargetH),9),2))</f>
        <v/>
      </c>
      <c r="Q305" s="18" t="str">
        <f aca="false">IF(OR(AND($A305="",$B305="",$C305="",$D305="",$E305="",$F305="",$G305="",$H305=""),NOT($S305="")),"",MAX(0,ROUND($P305-$B305,2)))</f>
        <v/>
      </c>
      <c r="R305" s="21" t="str">
        <f aca="false">IF(AND($A305="",$B305="",$C305="",$D305="",$E305="",$F305="",$G305="",$H305=""),"",IF(NOT($S305=""),"Check inputs",IF($B305=0,"No fee entered",IF($N305&lt;0,"Losing money on entered costs",IF(ROUND($N305*100,0)*10000&lt;TargetH*ROUND($B305*100,0),"Below your target","Meets your target")))))</f>
        <v/>
      </c>
      <c r="S305" s="22" t="str">
        <f aca="false">IF(AND($A305="",$B305="",$C305="",$D305="",$E305="",$F305="",$G305="",$H305=""),"",TRIM(IF($A305="","Customer/site label is missing. ","")&amp;IF($B305="","Monthly fee is missing. ",IF(NOT(ISNUMBER($B305)),"Monthly fee must be a number. ",IF($B305&lt;0,"Monthly fee can't be negative. ",IF(ROUND($B305,2)&lt;&gt;$B305,"Monthly fee: use up to 2 decimal places. ",IF($B305&gt;99999.99,"Monthly fee: use 99,999.99 or less. ","")))))&amp;IF($C305="","Visits per month is missing. ",IF(NOT(ISNUMBER($C305)),"Visits per month must be a number. ",IF($C305&lt;0,"Visits per month can't be negative. ",IF(ROUND($C305,3)&lt;&gt;$C305,"Visits per month: use up to 3 decimal places. ",IF($C305=0,"Visits per month must be more than 0. ",IF($C305&gt;31,"Visits per month: use 31 or less. ",""))))))&amp;IF($D305="","Service minutes per visit is missing. ",IF(NOT(ISNUMBER($D305)),"Service minutes per visit must be a number. ",IF($D305&lt;0,"Service minutes per visit can't be negative. ",IF(ROUND($D305,2)&lt;&gt;$D305,"Service minutes per visit: use up to 2 decimal places. ",IF($D305=0,"Service minutes per visit must be more than 0. ",IF($D305&gt;600,"Service minutes per visit: use 600 or less. ",""))))))&amp;IF($E305="","Drive minutes per visit is missing. ",IF(NOT(ISNUMBER($E305)),"Drive minutes per visit must be a number. ",IF($E305&lt;0,"Drive minutes per visit can't be negative. ",IF(ROUND($E305,2)&lt;&gt;$E305,"Drive minutes per visit: use up to 2 decimal places. ",IF($E305&gt;600,"Drive minutes per visit: use 600 or less. ","")))))&amp;IF($F305="","Drive miles per visit is missing. ",IF(NOT(ISNUMBER($F305)),"Drive miles per visit must be a number. ",IF($F305&lt;0,"Drive miles per visit can't be negative. ",IF(ROUND($F305,2)&lt;&gt;$F305,"Drive miles per visit: use up to 2 decimal places. ",IF($F305&gt;1000,"Drive miles per visit: use 1,000 or less. ","")))))&amp;IF($G305="","Chemicals per visit is missing. ",IF(NOT(ISNUMBER($G305)),"Chemicals per visit must be a number. ",IF($G305&lt;0,"Chemicals per visit can't be negative. ",IF(ROUND($G305,2)&lt;&gt;$G305,"Chemicals per visit: use up to 2 decimal places. ",IF($G305&gt;9999.99,"Chemicals per visit: use 9,999.99 or less. ","")))))&amp;IF($H305="","Other monthly costs is missing. ",IF(NOT(ISNUMBER($H305)),"Other monthly costs must be a number. ",IF($H305&lt;0,"Other monthly costs can't be negative. ",IF(ROUND($H305,2)&lt;&gt;$H305,"Other monthly costs: use up to 2 decimal places. ",IF($H305&gt;99999.99,"Other monthly costs: use 99,999.99 or less. ","")))))&amp;IF(SettingsOK,"","Settings incomplete.")))</f>
        <v/>
      </c>
      <c r="T305" s="23" t="str">
        <f aca="false">IF(AND($A305="",$B305="",$C305="",$D305="",$E305="",$F305="",$G305="",$H305=""),"",IF(Review!$B$5="Check inputs",IF($R305="Check inputs",ROW(),""),IF($R305="Check inputs",IF(Review!$B$5="All accounts",-2000000000000000+ROW(),""),IF(AND(Review!$B$5="Needs review",$R305="Meets your target"),"",IF($R305="No fee entered",-1000000000000000+ROW(),$N305/$B305+ROW()/1000000000)))))</f>
        <v/>
      </c>
    </row>
    <row r="306" customFormat="false" ht="15" hidden="false" customHeight="false" outlineLevel="0" collapsed="false">
      <c r="A306" s="14"/>
      <c r="B306" s="15"/>
      <c r="C306" s="16"/>
      <c r="D306" s="14"/>
      <c r="E306" s="14"/>
      <c r="F306" s="14"/>
      <c r="G306" s="15"/>
      <c r="H306" s="15"/>
      <c r="I306" s="17" t="str">
        <f aca="false">IF(OR(AND($A306="",$B306="",$C306="",$D306="",$E306="",$F306="",$G306="",$H306=""),NOT($S306="")),"",ROUND($C306*($D306+$E306)/60,4))</f>
        <v/>
      </c>
      <c r="J306" s="18" t="str">
        <f aca="false">IF(OR(AND($A306="",$B306="",$C306="",$D306="",$E306="",$F306="",$G306="",$H306=""),NOT($S306="")),"",ROUND(ROUND($C306*($D306+$E306)/60*$B$5,9),2))</f>
        <v/>
      </c>
      <c r="K306" s="18" t="str">
        <f aca="false">IF(OR(AND($A306="",$B306="",$C306="",$D306="",$E306="",$F306="",$G306="",$H306=""),NOT($S306="")),"",ROUND(ROUND($C306*$F306*$B$6,9),2))</f>
        <v/>
      </c>
      <c r="L306" s="18" t="str">
        <f aca="false">IF(OR(AND($A306="",$B306="",$C306="",$D306="",$E306="",$F306="",$G306="",$H306=""),NOT($S306="")),"",ROUND(ROUND($C306*$G306,9),2))</f>
        <v/>
      </c>
      <c r="M306" s="19" t="str">
        <f aca="false">IF(OR(AND($A306="",$B306="",$C306="",$D306="",$E306="",$F306="",$G306="",$H306=""),NOT($S306="")),"",ROUND($J306+$K306+$L306+$H306,2))</f>
        <v/>
      </c>
      <c r="N306" s="19" t="str">
        <f aca="false">IF(OR(AND($A306="",$B306="",$C306="",$D306="",$E306="",$F306="",$G306="",$H306=""),NOT($S306="")),"",ROUND($B306-$M306,2))</f>
        <v/>
      </c>
      <c r="O306" s="20" t="str">
        <f aca="false">IF(OR(AND($A306="",$B306="",$C306="",$D306="",$E306="",$F306="",$G306="",$H306=""),NOT($S306="")),"",IF($B306=0,"n/a",INT(ROUND($N306/$B306*10000,6))/10000))</f>
        <v/>
      </c>
      <c r="P306" s="18" t="str">
        <f aca="false">IF(OR(AND($A306="",$B306="",$C306="",$D306="",$E306="",$F306="",$G306="",$H306=""),NOT($S306="")),"",ROUNDUP(ROUND($M306*10000/(10000-TargetH),9),2))</f>
        <v/>
      </c>
      <c r="Q306" s="18" t="str">
        <f aca="false">IF(OR(AND($A306="",$B306="",$C306="",$D306="",$E306="",$F306="",$G306="",$H306=""),NOT($S306="")),"",MAX(0,ROUND($P306-$B306,2)))</f>
        <v/>
      </c>
      <c r="R306" s="21" t="str">
        <f aca="false">IF(AND($A306="",$B306="",$C306="",$D306="",$E306="",$F306="",$G306="",$H306=""),"",IF(NOT($S306=""),"Check inputs",IF($B306=0,"No fee entered",IF($N306&lt;0,"Losing money on entered costs",IF(ROUND($N306*100,0)*10000&lt;TargetH*ROUND($B306*100,0),"Below your target","Meets your target")))))</f>
        <v/>
      </c>
      <c r="S306" s="22" t="str">
        <f aca="false">IF(AND($A306="",$B306="",$C306="",$D306="",$E306="",$F306="",$G306="",$H306=""),"",TRIM(IF($A306="","Customer/site label is missing. ","")&amp;IF($B306="","Monthly fee is missing. ",IF(NOT(ISNUMBER($B306)),"Monthly fee must be a number. ",IF($B306&lt;0,"Monthly fee can't be negative. ",IF(ROUND($B306,2)&lt;&gt;$B306,"Monthly fee: use up to 2 decimal places. ",IF($B306&gt;99999.99,"Monthly fee: use 99,999.99 or less. ","")))))&amp;IF($C306="","Visits per month is missing. ",IF(NOT(ISNUMBER($C306)),"Visits per month must be a number. ",IF($C306&lt;0,"Visits per month can't be negative. ",IF(ROUND($C306,3)&lt;&gt;$C306,"Visits per month: use up to 3 decimal places. ",IF($C306=0,"Visits per month must be more than 0. ",IF($C306&gt;31,"Visits per month: use 31 or less. ",""))))))&amp;IF($D306="","Service minutes per visit is missing. ",IF(NOT(ISNUMBER($D306)),"Service minutes per visit must be a number. ",IF($D306&lt;0,"Service minutes per visit can't be negative. ",IF(ROUND($D306,2)&lt;&gt;$D306,"Service minutes per visit: use up to 2 decimal places. ",IF($D306=0,"Service minutes per visit must be more than 0. ",IF($D306&gt;600,"Service minutes per visit: use 600 or less. ",""))))))&amp;IF($E306="","Drive minutes per visit is missing. ",IF(NOT(ISNUMBER($E306)),"Drive minutes per visit must be a number. ",IF($E306&lt;0,"Drive minutes per visit can't be negative. ",IF(ROUND($E306,2)&lt;&gt;$E306,"Drive minutes per visit: use up to 2 decimal places. ",IF($E306&gt;600,"Drive minutes per visit: use 600 or less. ","")))))&amp;IF($F306="","Drive miles per visit is missing. ",IF(NOT(ISNUMBER($F306)),"Drive miles per visit must be a number. ",IF($F306&lt;0,"Drive miles per visit can't be negative. ",IF(ROUND($F306,2)&lt;&gt;$F306,"Drive miles per visit: use up to 2 decimal places. ",IF($F306&gt;1000,"Drive miles per visit: use 1,000 or less. ","")))))&amp;IF($G306="","Chemicals per visit is missing. ",IF(NOT(ISNUMBER($G306)),"Chemicals per visit must be a number. ",IF($G306&lt;0,"Chemicals per visit can't be negative. ",IF(ROUND($G306,2)&lt;&gt;$G306,"Chemicals per visit: use up to 2 decimal places. ",IF($G306&gt;9999.99,"Chemicals per visit: use 9,999.99 or less. ","")))))&amp;IF($H306="","Other monthly costs is missing. ",IF(NOT(ISNUMBER($H306)),"Other monthly costs must be a number. ",IF($H306&lt;0,"Other monthly costs can't be negative. ",IF(ROUND($H306,2)&lt;&gt;$H306,"Other monthly costs: use up to 2 decimal places. ",IF($H306&gt;99999.99,"Other monthly costs: use 99,999.99 or less. ","")))))&amp;IF(SettingsOK,"","Settings incomplete.")))</f>
        <v/>
      </c>
      <c r="T306" s="23" t="str">
        <f aca="false">IF(AND($A306="",$B306="",$C306="",$D306="",$E306="",$F306="",$G306="",$H306=""),"",IF(Review!$B$5="Check inputs",IF($R306="Check inputs",ROW(),""),IF($R306="Check inputs",IF(Review!$B$5="All accounts",-2000000000000000+ROW(),""),IF(AND(Review!$B$5="Needs review",$R306="Meets your target"),"",IF($R306="No fee entered",-1000000000000000+ROW(),$N306/$B306+ROW()/1000000000)))))</f>
        <v/>
      </c>
    </row>
    <row r="307" customFormat="false" ht="15" hidden="false" customHeight="false" outlineLevel="0" collapsed="false">
      <c r="A307" s="14"/>
      <c r="B307" s="15"/>
      <c r="C307" s="16"/>
      <c r="D307" s="14"/>
      <c r="E307" s="14"/>
      <c r="F307" s="14"/>
      <c r="G307" s="15"/>
      <c r="H307" s="15"/>
      <c r="I307" s="17" t="str">
        <f aca="false">IF(OR(AND($A307="",$B307="",$C307="",$D307="",$E307="",$F307="",$G307="",$H307=""),NOT($S307="")),"",ROUND($C307*($D307+$E307)/60,4))</f>
        <v/>
      </c>
      <c r="J307" s="18" t="str">
        <f aca="false">IF(OR(AND($A307="",$B307="",$C307="",$D307="",$E307="",$F307="",$G307="",$H307=""),NOT($S307="")),"",ROUND(ROUND($C307*($D307+$E307)/60*$B$5,9),2))</f>
        <v/>
      </c>
      <c r="K307" s="18" t="str">
        <f aca="false">IF(OR(AND($A307="",$B307="",$C307="",$D307="",$E307="",$F307="",$G307="",$H307=""),NOT($S307="")),"",ROUND(ROUND($C307*$F307*$B$6,9),2))</f>
        <v/>
      </c>
      <c r="L307" s="18" t="str">
        <f aca="false">IF(OR(AND($A307="",$B307="",$C307="",$D307="",$E307="",$F307="",$G307="",$H307=""),NOT($S307="")),"",ROUND(ROUND($C307*$G307,9),2))</f>
        <v/>
      </c>
      <c r="M307" s="19" t="str">
        <f aca="false">IF(OR(AND($A307="",$B307="",$C307="",$D307="",$E307="",$F307="",$G307="",$H307=""),NOT($S307="")),"",ROUND($J307+$K307+$L307+$H307,2))</f>
        <v/>
      </c>
      <c r="N307" s="19" t="str">
        <f aca="false">IF(OR(AND($A307="",$B307="",$C307="",$D307="",$E307="",$F307="",$G307="",$H307=""),NOT($S307="")),"",ROUND($B307-$M307,2))</f>
        <v/>
      </c>
      <c r="O307" s="20" t="str">
        <f aca="false">IF(OR(AND($A307="",$B307="",$C307="",$D307="",$E307="",$F307="",$G307="",$H307=""),NOT($S307="")),"",IF($B307=0,"n/a",INT(ROUND($N307/$B307*10000,6))/10000))</f>
        <v/>
      </c>
      <c r="P307" s="18" t="str">
        <f aca="false">IF(OR(AND($A307="",$B307="",$C307="",$D307="",$E307="",$F307="",$G307="",$H307=""),NOT($S307="")),"",ROUNDUP(ROUND($M307*10000/(10000-TargetH),9),2))</f>
        <v/>
      </c>
      <c r="Q307" s="18" t="str">
        <f aca="false">IF(OR(AND($A307="",$B307="",$C307="",$D307="",$E307="",$F307="",$G307="",$H307=""),NOT($S307="")),"",MAX(0,ROUND($P307-$B307,2)))</f>
        <v/>
      </c>
      <c r="R307" s="21" t="str">
        <f aca="false">IF(AND($A307="",$B307="",$C307="",$D307="",$E307="",$F307="",$G307="",$H307=""),"",IF(NOT($S307=""),"Check inputs",IF($B307=0,"No fee entered",IF($N307&lt;0,"Losing money on entered costs",IF(ROUND($N307*100,0)*10000&lt;TargetH*ROUND($B307*100,0),"Below your target","Meets your target")))))</f>
        <v/>
      </c>
      <c r="S307" s="22" t="str">
        <f aca="false">IF(AND($A307="",$B307="",$C307="",$D307="",$E307="",$F307="",$G307="",$H307=""),"",TRIM(IF($A307="","Customer/site label is missing. ","")&amp;IF($B307="","Monthly fee is missing. ",IF(NOT(ISNUMBER($B307)),"Monthly fee must be a number. ",IF($B307&lt;0,"Monthly fee can't be negative. ",IF(ROUND($B307,2)&lt;&gt;$B307,"Monthly fee: use up to 2 decimal places. ",IF($B307&gt;99999.99,"Monthly fee: use 99,999.99 or less. ","")))))&amp;IF($C307="","Visits per month is missing. ",IF(NOT(ISNUMBER($C307)),"Visits per month must be a number. ",IF($C307&lt;0,"Visits per month can't be negative. ",IF(ROUND($C307,3)&lt;&gt;$C307,"Visits per month: use up to 3 decimal places. ",IF($C307=0,"Visits per month must be more than 0. ",IF($C307&gt;31,"Visits per month: use 31 or less. ",""))))))&amp;IF($D307="","Service minutes per visit is missing. ",IF(NOT(ISNUMBER($D307)),"Service minutes per visit must be a number. ",IF($D307&lt;0,"Service minutes per visit can't be negative. ",IF(ROUND($D307,2)&lt;&gt;$D307,"Service minutes per visit: use up to 2 decimal places. ",IF($D307=0,"Service minutes per visit must be more than 0. ",IF($D307&gt;600,"Service minutes per visit: use 600 or less. ",""))))))&amp;IF($E307="","Drive minutes per visit is missing. ",IF(NOT(ISNUMBER($E307)),"Drive minutes per visit must be a number. ",IF($E307&lt;0,"Drive minutes per visit can't be negative. ",IF(ROUND($E307,2)&lt;&gt;$E307,"Drive minutes per visit: use up to 2 decimal places. ",IF($E307&gt;600,"Drive minutes per visit: use 600 or less. ","")))))&amp;IF($F307="","Drive miles per visit is missing. ",IF(NOT(ISNUMBER($F307)),"Drive miles per visit must be a number. ",IF($F307&lt;0,"Drive miles per visit can't be negative. ",IF(ROUND($F307,2)&lt;&gt;$F307,"Drive miles per visit: use up to 2 decimal places. ",IF($F307&gt;1000,"Drive miles per visit: use 1,000 or less. ","")))))&amp;IF($G307="","Chemicals per visit is missing. ",IF(NOT(ISNUMBER($G307)),"Chemicals per visit must be a number. ",IF($G307&lt;0,"Chemicals per visit can't be negative. ",IF(ROUND($G307,2)&lt;&gt;$G307,"Chemicals per visit: use up to 2 decimal places. ",IF($G307&gt;9999.99,"Chemicals per visit: use 9,999.99 or less. ","")))))&amp;IF($H307="","Other monthly costs is missing. ",IF(NOT(ISNUMBER($H307)),"Other monthly costs must be a number. ",IF($H307&lt;0,"Other monthly costs can't be negative. ",IF(ROUND($H307,2)&lt;&gt;$H307,"Other monthly costs: use up to 2 decimal places. ",IF($H307&gt;99999.99,"Other monthly costs: use 99,999.99 or less. ","")))))&amp;IF(SettingsOK,"","Settings incomplete.")))</f>
        <v/>
      </c>
      <c r="T307" s="23" t="str">
        <f aca="false">IF(AND($A307="",$B307="",$C307="",$D307="",$E307="",$F307="",$G307="",$H307=""),"",IF(Review!$B$5="Check inputs",IF($R307="Check inputs",ROW(),""),IF($R307="Check inputs",IF(Review!$B$5="All accounts",-2000000000000000+ROW(),""),IF(AND(Review!$B$5="Needs review",$R307="Meets your target"),"",IF($R307="No fee entered",-1000000000000000+ROW(),$N307/$B307+ROW()/1000000000)))))</f>
        <v/>
      </c>
    </row>
    <row r="308" customFormat="false" ht="15" hidden="false" customHeight="false" outlineLevel="0" collapsed="false">
      <c r="A308" s="14"/>
      <c r="B308" s="15"/>
      <c r="C308" s="16"/>
      <c r="D308" s="14"/>
      <c r="E308" s="14"/>
      <c r="F308" s="14"/>
      <c r="G308" s="15"/>
      <c r="H308" s="15"/>
      <c r="I308" s="17" t="str">
        <f aca="false">IF(OR(AND($A308="",$B308="",$C308="",$D308="",$E308="",$F308="",$G308="",$H308=""),NOT($S308="")),"",ROUND($C308*($D308+$E308)/60,4))</f>
        <v/>
      </c>
      <c r="J308" s="18" t="str">
        <f aca="false">IF(OR(AND($A308="",$B308="",$C308="",$D308="",$E308="",$F308="",$G308="",$H308=""),NOT($S308="")),"",ROUND(ROUND($C308*($D308+$E308)/60*$B$5,9),2))</f>
        <v/>
      </c>
      <c r="K308" s="18" t="str">
        <f aca="false">IF(OR(AND($A308="",$B308="",$C308="",$D308="",$E308="",$F308="",$G308="",$H308=""),NOT($S308="")),"",ROUND(ROUND($C308*$F308*$B$6,9),2))</f>
        <v/>
      </c>
      <c r="L308" s="18" t="str">
        <f aca="false">IF(OR(AND($A308="",$B308="",$C308="",$D308="",$E308="",$F308="",$G308="",$H308=""),NOT($S308="")),"",ROUND(ROUND($C308*$G308,9),2))</f>
        <v/>
      </c>
      <c r="M308" s="19" t="str">
        <f aca="false">IF(OR(AND($A308="",$B308="",$C308="",$D308="",$E308="",$F308="",$G308="",$H308=""),NOT($S308="")),"",ROUND($J308+$K308+$L308+$H308,2))</f>
        <v/>
      </c>
      <c r="N308" s="19" t="str">
        <f aca="false">IF(OR(AND($A308="",$B308="",$C308="",$D308="",$E308="",$F308="",$G308="",$H308=""),NOT($S308="")),"",ROUND($B308-$M308,2))</f>
        <v/>
      </c>
      <c r="O308" s="20" t="str">
        <f aca="false">IF(OR(AND($A308="",$B308="",$C308="",$D308="",$E308="",$F308="",$G308="",$H308=""),NOT($S308="")),"",IF($B308=0,"n/a",INT(ROUND($N308/$B308*10000,6))/10000))</f>
        <v/>
      </c>
      <c r="P308" s="18" t="str">
        <f aca="false">IF(OR(AND($A308="",$B308="",$C308="",$D308="",$E308="",$F308="",$G308="",$H308=""),NOT($S308="")),"",ROUNDUP(ROUND($M308*10000/(10000-TargetH),9),2))</f>
        <v/>
      </c>
      <c r="Q308" s="18" t="str">
        <f aca="false">IF(OR(AND($A308="",$B308="",$C308="",$D308="",$E308="",$F308="",$G308="",$H308=""),NOT($S308="")),"",MAX(0,ROUND($P308-$B308,2)))</f>
        <v/>
      </c>
      <c r="R308" s="21" t="str">
        <f aca="false">IF(AND($A308="",$B308="",$C308="",$D308="",$E308="",$F308="",$G308="",$H308=""),"",IF(NOT($S308=""),"Check inputs",IF($B308=0,"No fee entered",IF($N308&lt;0,"Losing money on entered costs",IF(ROUND($N308*100,0)*10000&lt;TargetH*ROUND($B308*100,0),"Below your target","Meets your target")))))</f>
        <v/>
      </c>
      <c r="S308" s="22" t="str">
        <f aca="false">IF(AND($A308="",$B308="",$C308="",$D308="",$E308="",$F308="",$G308="",$H308=""),"",TRIM(IF($A308="","Customer/site label is missing. ","")&amp;IF($B308="","Monthly fee is missing. ",IF(NOT(ISNUMBER($B308)),"Monthly fee must be a number. ",IF($B308&lt;0,"Monthly fee can't be negative. ",IF(ROUND($B308,2)&lt;&gt;$B308,"Monthly fee: use up to 2 decimal places. ",IF($B308&gt;99999.99,"Monthly fee: use 99,999.99 or less. ","")))))&amp;IF($C308="","Visits per month is missing. ",IF(NOT(ISNUMBER($C308)),"Visits per month must be a number. ",IF($C308&lt;0,"Visits per month can't be negative. ",IF(ROUND($C308,3)&lt;&gt;$C308,"Visits per month: use up to 3 decimal places. ",IF($C308=0,"Visits per month must be more than 0. ",IF($C308&gt;31,"Visits per month: use 31 or less. ",""))))))&amp;IF($D308="","Service minutes per visit is missing. ",IF(NOT(ISNUMBER($D308)),"Service minutes per visit must be a number. ",IF($D308&lt;0,"Service minutes per visit can't be negative. ",IF(ROUND($D308,2)&lt;&gt;$D308,"Service minutes per visit: use up to 2 decimal places. ",IF($D308=0,"Service minutes per visit must be more than 0. ",IF($D308&gt;600,"Service minutes per visit: use 600 or less. ",""))))))&amp;IF($E308="","Drive minutes per visit is missing. ",IF(NOT(ISNUMBER($E308)),"Drive minutes per visit must be a number. ",IF($E308&lt;0,"Drive minutes per visit can't be negative. ",IF(ROUND($E308,2)&lt;&gt;$E308,"Drive minutes per visit: use up to 2 decimal places. ",IF($E308&gt;600,"Drive minutes per visit: use 600 or less. ","")))))&amp;IF($F308="","Drive miles per visit is missing. ",IF(NOT(ISNUMBER($F308)),"Drive miles per visit must be a number. ",IF($F308&lt;0,"Drive miles per visit can't be negative. ",IF(ROUND($F308,2)&lt;&gt;$F308,"Drive miles per visit: use up to 2 decimal places. ",IF($F308&gt;1000,"Drive miles per visit: use 1,000 or less. ","")))))&amp;IF($G308="","Chemicals per visit is missing. ",IF(NOT(ISNUMBER($G308)),"Chemicals per visit must be a number. ",IF($G308&lt;0,"Chemicals per visit can't be negative. ",IF(ROUND($G308,2)&lt;&gt;$G308,"Chemicals per visit: use up to 2 decimal places. ",IF($G308&gt;9999.99,"Chemicals per visit: use 9,999.99 or less. ","")))))&amp;IF($H308="","Other monthly costs is missing. ",IF(NOT(ISNUMBER($H308)),"Other monthly costs must be a number. ",IF($H308&lt;0,"Other monthly costs can't be negative. ",IF(ROUND($H308,2)&lt;&gt;$H308,"Other monthly costs: use up to 2 decimal places. ",IF($H308&gt;99999.99,"Other monthly costs: use 99,999.99 or less. ","")))))&amp;IF(SettingsOK,"","Settings incomplete.")))</f>
        <v/>
      </c>
      <c r="T308" s="23" t="str">
        <f aca="false">IF(AND($A308="",$B308="",$C308="",$D308="",$E308="",$F308="",$G308="",$H308=""),"",IF(Review!$B$5="Check inputs",IF($R308="Check inputs",ROW(),""),IF($R308="Check inputs",IF(Review!$B$5="All accounts",-2000000000000000+ROW(),""),IF(AND(Review!$B$5="Needs review",$R308="Meets your target"),"",IF($R308="No fee entered",-1000000000000000+ROW(),$N308/$B308+ROW()/1000000000)))))</f>
        <v/>
      </c>
    </row>
    <row r="309" customFormat="false" ht="15" hidden="false" customHeight="false" outlineLevel="0" collapsed="false">
      <c r="A309" s="14"/>
      <c r="B309" s="15"/>
      <c r="C309" s="16"/>
      <c r="D309" s="14"/>
      <c r="E309" s="14"/>
      <c r="F309" s="14"/>
      <c r="G309" s="15"/>
      <c r="H309" s="15"/>
      <c r="I309" s="17" t="str">
        <f aca="false">IF(OR(AND($A309="",$B309="",$C309="",$D309="",$E309="",$F309="",$G309="",$H309=""),NOT($S309="")),"",ROUND($C309*($D309+$E309)/60,4))</f>
        <v/>
      </c>
      <c r="J309" s="18" t="str">
        <f aca="false">IF(OR(AND($A309="",$B309="",$C309="",$D309="",$E309="",$F309="",$G309="",$H309=""),NOT($S309="")),"",ROUND(ROUND($C309*($D309+$E309)/60*$B$5,9),2))</f>
        <v/>
      </c>
      <c r="K309" s="18" t="str">
        <f aca="false">IF(OR(AND($A309="",$B309="",$C309="",$D309="",$E309="",$F309="",$G309="",$H309=""),NOT($S309="")),"",ROUND(ROUND($C309*$F309*$B$6,9),2))</f>
        <v/>
      </c>
      <c r="L309" s="18" t="str">
        <f aca="false">IF(OR(AND($A309="",$B309="",$C309="",$D309="",$E309="",$F309="",$G309="",$H309=""),NOT($S309="")),"",ROUND(ROUND($C309*$G309,9),2))</f>
        <v/>
      </c>
      <c r="M309" s="19" t="str">
        <f aca="false">IF(OR(AND($A309="",$B309="",$C309="",$D309="",$E309="",$F309="",$G309="",$H309=""),NOT($S309="")),"",ROUND($J309+$K309+$L309+$H309,2))</f>
        <v/>
      </c>
      <c r="N309" s="19" t="str">
        <f aca="false">IF(OR(AND($A309="",$B309="",$C309="",$D309="",$E309="",$F309="",$G309="",$H309=""),NOT($S309="")),"",ROUND($B309-$M309,2))</f>
        <v/>
      </c>
      <c r="O309" s="20" t="str">
        <f aca="false">IF(OR(AND($A309="",$B309="",$C309="",$D309="",$E309="",$F309="",$G309="",$H309=""),NOT($S309="")),"",IF($B309=0,"n/a",INT(ROUND($N309/$B309*10000,6))/10000))</f>
        <v/>
      </c>
      <c r="P309" s="18" t="str">
        <f aca="false">IF(OR(AND($A309="",$B309="",$C309="",$D309="",$E309="",$F309="",$G309="",$H309=""),NOT($S309="")),"",ROUNDUP(ROUND($M309*10000/(10000-TargetH),9),2))</f>
        <v/>
      </c>
      <c r="Q309" s="18" t="str">
        <f aca="false">IF(OR(AND($A309="",$B309="",$C309="",$D309="",$E309="",$F309="",$G309="",$H309=""),NOT($S309="")),"",MAX(0,ROUND($P309-$B309,2)))</f>
        <v/>
      </c>
      <c r="R309" s="21" t="str">
        <f aca="false">IF(AND($A309="",$B309="",$C309="",$D309="",$E309="",$F309="",$G309="",$H309=""),"",IF(NOT($S309=""),"Check inputs",IF($B309=0,"No fee entered",IF($N309&lt;0,"Losing money on entered costs",IF(ROUND($N309*100,0)*10000&lt;TargetH*ROUND($B309*100,0),"Below your target","Meets your target")))))</f>
        <v/>
      </c>
      <c r="S309" s="22" t="str">
        <f aca="false">IF(AND($A309="",$B309="",$C309="",$D309="",$E309="",$F309="",$G309="",$H309=""),"",TRIM(IF($A309="","Customer/site label is missing. ","")&amp;IF($B309="","Monthly fee is missing. ",IF(NOT(ISNUMBER($B309)),"Monthly fee must be a number. ",IF($B309&lt;0,"Monthly fee can't be negative. ",IF(ROUND($B309,2)&lt;&gt;$B309,"Monthly fee: use up to 2 decimal places. ",IF($B309&gt;99999.99,"Monthly fee: use 99,999.99 or less. ","")))))&amp;IF($C309="","Visits per month is missing. ",IF(NOT(ISNUMBER($C309)),"Visits per month must be a number. ",IF($C309&lt;0,"Visits per month can't be negative. ",IF(ROUND($C309,3)&lt;&gt;$C309,"Visits per month: use up to 3 decimal places. ",IF($C309=0,"Visits per month must be more than 0. ",IF($C309&gt;31,"Visits per month: use 31 or less. ",""))))))&amp;IF($D309="","Service minutes per visit is missing. ",IF(NOT(ISNUMBER($D309)),"Service minutes per visit must be a number. ",IF($D309&lt;0,"Service minutes per visit can't be negative. ",IF(ROUND($D309,2)&lt;&gt;$D309,"Service minutes per visit: use up to 2 decimal places. ",IF($D309=0,"Service minutes per visit must be more than 0. ",IF($D309&gt;600,"Service minutes per visit: use 600 or less. ",""))))))&amp;IF($E309="","Drive minutes per visit is missing. ",IF(NOT(ISNUMBER($E309)),"Drive minutes per visit must be a number. ",IF($E309&lt;0,"Drive minutes per visit can't be negative. ",IF(ROUND($E309,2)&lt;&gt;$E309,"Drive minutes per visit: use up to 2 decimal places. ",IF($E309&gt;600,"Drive minutes per visit: use 600 or less. ","")))))&amp;IF($F309="","Drive miles per visit is missing. ",IF(NOT(ISNUMBER($F309)),"Drive miles per visit must be a number. ",IF($F309&lt;0,"Drive miles per visit can't be negative. ",IF(ROUND($F309,2)&lt;&gt;$F309,"Drive miles per visit: use up to 2 decimal places. ",IF($F309&gt;1000,"Drive miles per visit: use 1,000 or less. ","")))))&amp;IF($G309="","Chemicals per visit is missing. ",IF(NOT(ISNUMBER($G309)),"Chemicals per visit must be a number. ",IF($G309&lt;0,"Chemicals per visit can't be negative. ",IF(ROUND($G309,2)&lt;&gt;$G309,"Chemicals per visit: use up to 2 decimal places. ",IF($G309&gt;9999.99,"Chemicals per visit: use 9,999.99 or less. ","")))))&amp;IF($H309="","Other monthly costs is missing. ",IF(NOT(ISNUMBER($H309)),"Other monthly costs must be a number. ",IF($H309&lt;0,"Other monthly costs can't be negative. ",IF(ROUND($H309,2)&lt;&gt;$H309,"Other monthly costs: use up to 2 decimal places. ",IF($H309&gt;99999.99,"Other monthly costs: use 99,999.99 or less. ","")))))&amp;IF(SettingsOK,"","Settings incomplete.")))</f>
        <v/>
      </c>
      <c r="T309" s="23" t="str">
        <f aca="false">IF(AND($A309="",$B309="",$C309="",$D309="",$E309="",$F309="",$G309="",$H309=""),"",IF(Review!$B$5="Check inputs",IF($R309="Check inputs",ROW(),""),IF($R309="Check inputs",IF(Review!$B$5="All accounts",-2000000000000000+ROW(),""),IF(AND(Review!$B$5="Needs review",$R309="Meets your target"),"",IF($R309="No fee entered",-1000000000000000+ROW(),$N309/$B309+ROW()/1000000000)))))</f>
        <v/>
      </c>
    </row>
    <row r="310" customFormat="false" ht="15" hidden="false" customHeight="false" outlineLevel="0" collapsed="false">
      <c r="A310" s="14"/>
      <c r="B310" s="15"/>
      <c r="C310" s="16"/>
      <c r="D310" s="14"/>
      <c r="E310" s="14"/>
      <c r="F310" s="14"/>
      <c r="G310" s="15"/>
      <c r="H310" s="15"/>
      <c r="I310" s="17" t="str">
        <f aca="false">IF(OR(AND($A310="",$B310="",$C310="",$D310="",$E310="",$F310="",$G310="",$H310=""),NOT($S310="")),"",ROUND($C310*($D310+$E310)/60,4))</f>
        <v/>
      </c>
      <c r="J310" s="18" t="str">
        <f aca="false">IF(OR(AND($A310="",$B310="",$C310="",$D310="",$E310="",$F310="",$G310="",$H310=""),NOT($S310="")),"",ROUND(ROUND($C310*($D310+$E310)/60*$B$5,9),2))</f>
        <v/>
      </c>
      <c r="K310" s="18" t="str">
        <f aca="false">IF(OR(AND($A310="",$B310="",$C310="",$D310="",$E310="",$F310="",$G310="",$H310=""),NOT($S310="")),"",ROUND(ROUND($C310*$F310*$B$6,9),2))</f>
        <v/>
      </c>
      <c r="L310" s="18" t="str">
        <f aca="false">IF(OR(AND($A310="",$B310="",$C310="",$D310="",$E310="",$F310="",$G310="",$H310=""),NOT($S310="")),"",ROUND(ROUND($C310*$G310,9),2))</f>
        <v/>
      </c>
      <c r="M310" s="19" t="str">
        <f aca="false">IF(OR(AND($A310="",$B310="",$C310="",$D310="",$E310="",$F310="",$G310="",$H310=""),NOT($S310="")),"",ROUND($J310+$K310+$L310+$H310,2))</f>
        <v/>
      </c>
      <c r="N310" s="19" t="str">
        <f aca="false">IF(OR(AND($A310="",$B310="",$C310="",$D310="",$E310="",$F310="",$G310="",$H310=""),NOT($S310="")),"",ROUND($B310-$M310,2))</f>
        <v/>
      </c>
      <c r="O310" s="20" t="str">
        <f aca="false">IF(OR(AND($A310="",$B310="",$C310="",$D310="",$E310="",$F310="",$G310="",$H310=""),NOT($S310="")),"",IF($B310=0,"n/a",INT(ROUND($N310/$B310*10000,6))/10000))</f>
        <v/>
      </c>
      <c r="P310" s="18" t="str">
        <f aca="false">IF(OR(AND($A310="",$B310="",$C310="",$D310="",$E310="",$F310="",$G310="",$H310=""),NOT($S310="")),"",ROUNDUP(ROUND($M310*10000/(10000-TargetH),9),2))</f>
        <v/>
      </c>
      <c r="Q310" s="18" t="str">
        <f aca="false">IF(OR(AND($A310="",$B310="",$C310="",$D310="",$E310="",$F310="",$G310="",$H310=""),NOT($S310="")),"",MAX(0,ROUND($P310-$B310,2)))</f>
        <v/>
      </c>
      <c r="R310" s="21" t="str">
        <f aca="false">IF(AND($A310="",$B310="",$C310="",$D310="",$E310="",$F310="",$G310="",$H310=""),"",IF(NOT($S310=""),"Check inputs",IF($B310=0,"No fee entered",IF($N310&lt;0,"Losing money on entered costs",IF(ROUND($N310*100,0)*10000&lt;TargetH*ROUND($B310*100,0),"Below your target","Meets your target")))))</f>
        <v/>
      </c>
      <c r="S310" s="22" t="str">
        <f aca="false">IF(AND($A310="",$B310="",$C310="",$D310="",$E310="",$F310="",$G310="",$H310=""),"",TRIM(IF($A310="","Customer/site label is missing. ","")&amp;IF($B310="","Monthly fee is missing. ",IF(NOT(ISNUMBER($B310)),"Monthly fee must be a number. ",IF($B310&lt;0,"Monthly fee can't be negative. ",IF(ROUND($B310,2)&lt;&gt;$B310,"Monthly fee: use up to 2 decimal places. ",IF($B310&gt;99999.99,"Monthly fee: use 99,999.99 or less. ","")))))&amp;IF($C310="","Visits per month is missing. ",IF(NOT(ISNUMBER($C310)),"Visits per month must be a number. ",IF($C310&lt;0,"Visits per month can't be negative. ",IF(ROUND($C310,3)&lt;&gt;$C310,"Visits per month: use up to 3 decimal places. ",IF($C310=0,"Visits per month must be more than 0. ",IF($C310&gt;31,"Visits per month: use 31 or less. ",""))))))&amp;IF($D310="","Service minutes per visit is missing. ",IF(NOT(ISNUMBER($D310)),"Service minutes per visit must be a number. ",IF($D310&lt;0,"Service minutes per visit can't be negative. ",IF(ROUND($D310,2)&lt;&gt;$D310,"Service minutes per visit: use up to 2 decimal places. ",IF($D310=0,"Service minutes per visit must be more than 0. ",IF($D310&gt;600,"Service minutes per visit: use 600 or less. ",""))))))&amp;IF($E310="","Drive minutes per visit is missing. ",IF(NOT(ISNUMBER($E310)),"Drive minutes per visit must be a number. ",IF($E310&lt;0,"Drive minutes per visit can't be negative. ",IF(ROUND($E310,2)&lt;&gt;$E310,"Drive minutes per visit: use up to 2 decimal places. ",IF($E310&gt;600,"Drive minutes per visit: use 600 or less. ","")))))&amp;IF($F310="","Drive miles per visit is missing. ",IF(NOT(ISNUMBER($F310)),"Drive miles per visit must be a number. ",IF($F310&lt;0,"Drive miles per visit can't be negative. ",IF(ROUND($F310,2)&lt;&gt;$F310,"Drive miles per visit: use up to 2 decimal places. ",IF($F310&gt;1000,"Drive miles per visit: use 1,000 or less. ","")))))&amp;IF($G310="","Chemicals per visit is missing. ",IF(NOT(ISNUMBER($G310)),"Chemicals per visit must be a number. ",IF($G310&lt;0,"Chemicals per visit can't be negative. ",IF(ROUND($G310,2)&lt;&gt;$G310,"Chemicals per visit: use up to 2 decimal places. ",IF($G310&gt;9999.99,"Chemicals per visit: use 9,999.99 or less. ","")))))&amp;IF($H310="","Other monthly costs is missing. ",IF(NOT(ISNUMBER($H310)),"Other monthly costs must be a number. ",IF($H310&lt;0,"Other monthly costs can't be negative. ",IF(ROUND($H310,2)&lt;&gt;$H310,"Other monthly costs: use up to 2 decimal places. ",IF($H310&gt;99999.99,"Other monthly costs: use 99,999.99 or less. ","")))))&amp;IF(SettingsOK,"","Settings incomplete.")))</f>
        <v/>
      </c>
      <c r="T310" s="23" t="str">
        <f aca="false">IF(AND($A310="",$B310="",$C310="",$D310="",$E310="",$F310="",$G310="",$H310=""),"",IF(Review!$B$5="Check inputs",IF($R310="Check inputs",ROW(),""),IF($R310="Check inputs",IF(Review!$B$5="All accounts",-2000000000000000+ROW(),""),IF(AND(Review!$B$5="Needs review",$R310="Meets your target"),"",IF($R310="No fee entered",-1000000000000000+ROW(),$N310/$B310+ROW()/1000000000)))))</f>
        <v/>
      </c>
    </row>
    <row r="311" customFormat="false" ht="15" hidden="false" customHeight="false" outlineLevel="0" collapsed="false">
      <c r="A311" s="14"/>
      <c r="B311" s="15"/>
      <c r="C311" s="16"/>
      <c r="D311" s="14"/>
      <c r="E311" s="14"/>
      <c r="F311" s="14"/>
      <c r="G311" s="15"/>
      <c r="H311" s="15"/>
      <c r="I311" s="17" t="str">
        <f aca="false">IF(OR(AND($A311="",$B311="",$C311="",$D311="",$E311="",$F311="",$G311="",$H311=""),NOT($S311="")),"",ROUND($C311*($D311+$E311)/60,4))</f>
        <v/>
      </c>
      <c r="J311" s="18" t="str">
        <f aca="false">IF(OR(AND($A311="",$B311="",$C311="",$D311="",$E311="",$F311="",$G311="",$H311=""),NOT($S311="")),"",ROUND(ROUND($C311*($D311+$E311)/60*$B$5,9),2))</f>
        <v/>
      </c>
      <c r="K311" s="18" t="str">
        <f aca="false">IF(OR(AND($A311="",$B311="",$C311="",$D311="",$E311="",$F311="",$G311="",$H311=""),NOT($S311="")),"",ROUND(ROUND($C311*$F311*$B$6,9),2))</f>
        <v/>
      </c>
      <c r="L311" s="18" t="str">
        <f aca="false">IF(OR(AND($A311="",$B311="",$C311="",$D311="",$E311="",$F311="",$G311="",$H311=""),NOT($S311="")),"",ROUND(ROUND($C311*$G311,9),2))</f>
        <v/>
      </c>
      <c r="M311" s="19" t="str">
        <f aca="false">IF(OR(AND($A311="",$B311="",$C311="",$D311="",$E311="",$F311="",$G311="",$H311=""),NOT($S311="")),"",ROUND($J311+$K311+$L311+$H311,2))</f>
        <v/>
      </c>
      <c r="N311" s="19" t="str">
        <f aca="false">IF(OR(AND($A311="",$B311="",$C311="",$D311="",$E311="",$F311="",$G311="",$H311=""),NOT($S311="")),"",ROUND($B311-$M311,2))</f>
        <v/>
      </c>
      <c r="O311" s="20" t="str">
        <f aca="false">IF(OR(AND($A311="",$B311="",$C311="",$D311="",$E311="",$F311="",$G311="",$H311=""),NOT($S311="")),"",IF($B311=0,"n/a",INT(ROUND($N311/$B311*10000,6))/10000))</f>
        <v/>
      </c>
      <c r="P311" s="18" t="str">
        <f aca="false">IF(OR(AND($A311="",$B311="",$C311="",$D311="",$E311="",$F311="",$G311="",$H311=""),NOT($S311="")),"",ROUNDUP(ROUND($M311*10000/(10000-TargetH),9),2))</f>
        <v/>
      </c>
      <c r="Q311" s="18" t="str">
        <f aca="false">IF(OR(AND($A311="",$B311="",$C311="",$D311="",$E311="",$F311="",$G311="",$H311=""),NOT($S311="")),"",MAX(0,ROUND($P311-$B311,2)))</f>
        <v/>
      </c>
      <c r="R311" s="21" t="str">
        <f aca="false">IF(AND($A311="",$B311="",$C311="",$D311="",$E311="",$F311="",$G311="",$H311=""),"",IF(NOT($S311=""),"Check inputs",IF($B311=0,"No fee entered",IF($N311&lt;0,"Losing money on entered costs",IF(ROUND($N311*100,0)*10000&lt;TargetH*ROUND($B311*100,0),"Below your target","Meets your target")))))</f>
        <v/>
      </c>
      <c r="S311" s="22" t="str">
        <f aca="false">IF(AND($A311="",$B311="",$C311="",$D311="",$E311="",$F311="",$G311="",$H311=""),"",TRIM(IF($A311="","Customer/site label is missing. ","")&amp;IF($B311="","Monthly fee is missing. ",IF(NOT(ISNUMBER($B311)),"Monthly fee must be a number. ",IF($B311&lt;0,"Monthly fee can't be negative. ",IF(ROUND($B311,2)&lt;&gt;$B311,"Monthly fee: use up to 2 decimal places. ",IF($B311&gt;99999.99,"Monthly fee: use 99,999.99 or less. ","")))))&amp;IF($C311="","Visits per month is missing. ",IF(NOT(ISNUMBER($C311)),"Visits per month must be a number. ",IF($C311&lt;0,"Visits per month can't be negative. ",IF(ROUND($C311,3)&lt;&gt;$C311,"Visits per month: use up to 3 decimal places. ",IF($C311=0,"Visits per month must be more than 0. ",IF($C311&gt;31,"Visits per month: use 31 or less. ",""))))))&amp;IF($D311="","Service minutes per visit is missing. ",IF(NOT(ISNUMBER($D311)),"Service minutes per visit must be a number. ",IF($D311&lt;0,"Service minutes per visit can't be negative. ",IF(ROUND($D311,2)&lt;&gt;$D311,"Service minutes per visit: use up to 2 decimal places. ",IF($D311=0,"Service minutes per visit must be more than 0. ",IF($D311&gt;600,"Service minutes per visit: use 600 or less. ",""))))))&amp;IF($E311="","Drive minutes per visit is missing. ",IF(NOT(ISNUMBER($E311)),"Drive minutes per visit must be a number. ",IF($E311&lt;0,"Drive minutes per visit can't be negative. ",IF(ROUND($E311,2)&lt;&gt;$E311,"Drive minutes per visit: use up to 2 decimal places. ",IF($E311&gt;600,"Drive minutes per visit: use 600 or less. ","")))))&amp;IF($F311="","Drive miles per visit is missing. ",IF(NOT(ISNUMBER($F311)),"Drive miles per visit must be a number. ",IF($F311&lt;0,"Drive miles per visit can't be negative. ",IF(ROUND($F311,2)&lt;&gt;$F311,"Drive miles per visit: use up to 2 decimal places. ",IF($F311&gt;1000,"Drive miles per visit: use 1,000 or less. ","")))))&amp;IF($G311="","Chemicals per visit is missing. ",IF(NOT(ISNUMBER($G311)),"Chemicals per visit must be a number. ",IF($G311&lt;0,"Chemicals per visit can't be negative. ",IF(ROUND($G311,2)&lt;&gt;$G311,"Chemicals per visit: use up to 2 decimal places. ",IF($G311&gt;9999.99,"Chemicals per visit: use 9,999.99 or less. ","")))))&amp;IF($H311="","Other monthly costs is missing. ",IF(NOT(ISNUMBER($H311)),"Other monthly costs must be a number. ",IF($H311&lt;0,"Other monthly costs can't be negative. ",IF(ROUND($H311,2)&lt;&gt;$H311,"Other monthly costs: use up to 2 decimal places. ",IF($H311&gt;99999.99,"Other monthly costs: use 99,999.99 or less. ","")))))&amp;IF(SettingsOK,"","Settings incomplete.")))</f>
        <v/>
      </c>
      <c r="T311" s="23" t="str">
        <f aca="false">IF(AND($A311="",$B311="",$C311="",$D311="",$E311="",$F311="",$G311="",$H311=""),"",IF(Review!$B$5="Check inputs",IF($R311="Check inputs",ROW(),""),IF($R311="Check inputs",IF(Review!$B$5="All accounts",-2000000000000000+ROW(),""),IF(AND(Review!$B$5="Needs review",$R311="Meets your target"),"",IF($R311="No fee entered",-1000000000000000+ROW(),$N311/$B311+ROW()/1000000000)))))</f>
        <v/>
      </c>
    </row>
  </sheetData>
  <mergeCells count="7">
    <mergeCell ref="A2:R2"/>
    <mergeCell ref="A3:R3"/>
    <mergeCell ref="E5:L5"/>
    <mergeCell ref="E6:L6"/>
    <mergeCell ref="E7:L7"/>
    <mergeCell ref="B9:R9"/>
    <mergeCell ref="B10:R10"/>
  </mergeCells>
  <conditionalFormatting sqref="R12:R311">
    <cfRule type="expression" priority="2" aboveAverage="0" equalAverage="0" bottom="0" percent="0" rank="0" text="" dxfId="7">
      <formula>$R12="Losing money on entered costs"</formula>
    </cfRule>
    <cfRule type="expression" priority="3" aboveAverage="0" equalAverage="0" bottom="0" percent="0" rank="0" text="" dxfId="8">
      <formula>OR($R12="Below your target",$R12="No fee entered",$R12="Check inputs")</formula>
    </cfRule>
    <cfRule type="expression" priority="4" aboveAverage="0" equalAverage="0" bottom="0" percent="0" rank="0" text="" dxfId="9">
      <formula>$R12="Meets your target"</formula>
    </cfRule>
  </conditionalFormatting>
  <conditionalFormatting sqref="S12:S311">
    <cfRule type="expression" priority="5" aboveAverage="0" equalAverage="0" bottom="0" percent="0" rank="0" text="" dxfId="7">
      <formula>$S12&lt;&gt;""</formula>
    </cfRule>
  </conditionalFormatting>
  <conditionalFormatting sqref="B9">
    <cfRule type="expression" priority="6" aboveAverage="0" equalAverage="0" bottom="0" percent="0" rank="0" text="" dxfId="7">
      <formula>LEFT($B$9,1)="⚠"</formula>
    </cfRule>
  </conditionalFormatting>
  <conditionalFormatting sqref="C5:C6">
    <cfRule type="expression" priority="7" aboveAverage="0" equalAverage="0" bottom="0" percent="0" rank="0" text="" dxfId="7">
      <formula>LEFT(C5,2)&lt;&gt;"OK"</formula>
    </cfRule>
  </conditionalFormatting>
  <conditionalFormatting sqref="D8">
    <cfRule type="expression" priority="8" aboveAverage="0" equalAverage="0" bottom="0" percent="0" rank="0" text="" dxfId="7">
      <formula>LEFT($D$8,2)&lt;&gt;"OK"</formula>
    </cfRule>
  </conditionalFormatting>
  <dataValidations count="9">
    <dataValidation allowBlank="true" error="Enter dollars and cents, more than 0." errorStyle="stop" errorTitle="Labor cost per hour" operator="between" showDropDown="false" showErrorMessage="true" showInputMessage="false" sqref="B5" type="custom">
      <formula1>AND(ISNUMBER(B5),B5&gt;0,B5&lt;=9999.99,ROUND(B5,2)=B5)</formula1>
      <formula2>0</formula2>
    </dataValidation>
    <dataValidation allowBlank="true" error="Enter dollars and cents (0 is allowed)." errorStyle="stop" errorTitle="Vehicle cost per mile" operator="between" showDropDown="false" showErrorMessage="true" showInputMessage="false" sqref="B6" type="custom">
      <formula1>AND(ISNUMBER(B6),B6&gt;=0,B6&lt;=99.99,ROUND(B6,2)=B6)</formula1>
      <formula2>0</formula2>
    </dataValidation>
    <dataValidation allowBlank="true" error="Monthly fee: a number (0 is allowed), up to 2 decimals." errorStyle="stop" errorTitle="Monthly fee" operator="between" showDropDown="false" showErrorMessage="true" showInputMessage="false" sqref="B12:B311" type="custom">
      <formula1>AND(ISNUMBER(B12),B12&gt;=0,B12&lt;=99999.99,ROUND(B12,2)=B12)</formula1>
      <formula2>0</formula2>
    </dataValidation>
    <dataValidation allowBlank="true" error="Visits per month: a number more than 0, up to 3 decimals." errorStyle="stop" errorTitle="Visits per month" operator="between" showDropDown="false" showErrorMessage="true" showInputMessage="false" sqref="C12:C311" type="custom">
      <formula1>AND(ISNUMBER(C12),C12&gt;0,C12&lt;=31,ROUND(C12,3)=C12)</formula1>
      <formula2>0</formula2>
    </dataValidation>
    <dataValidation allowBlank="true" error="Service minutes per visit: a number more than 0, up to 2 decimals." errorStyle="stop" errorTitle="Service minutes per visit" operator="between" showDropDown="false" showErrorMessage="true" showInputMessage="false" sqref="D12:D311" type="custom">
      <formula1>AND(ISNUMBER(D12),D12&gt;0,D12&lt;=600,ROUND(D12,2)=D12)</formula1>
      <formula2>0</formula2>
    </dataValidation>
    <dataValidation allowBlank="true" error="Drive minutes per visit: a number (0 is allowed), up to 2 decimals." errorStyle="stop" errorTitle="Drive minutes per visit" operator="between" showDropDown="false" showErrorMessage="true" showInputMessage="false" sqref="E12:E311" type="custom">
      <formula1>AND(ISNUMBER(E12),E12&gt;=0,E12&lt;=600,ROUND(E12,2)=E12)</formula1>
      <formula2>0</formula2>
    </dataValidation>
    <dataValidation allowBlank="true" error="Drive miles per visit: a number (0 is allowed), up to 2 decimals." errorStyle="stop" errorTitle="Drive miles per visit" operator="between" showDropDown="false" showErrorMessage="true" showInputMessage="false" sqref="F12:F311" type="custom">
      <formula1>AND(ISNUMBER(F12),F12&gt;=0,F12&lt;=1000,ROUND(F12,2)=F12)</formula1>
      <formula2>0</formula2>
    </dataValidation>
    <dataValidation allowBlank="true" error="Chemicals per visit: a number (0 is allowed), up to 2 decimals." errorStyle="stop" errorTitle="Chemicals per visit" operator="between" showDropDown="false" showErrorMessage="true" showInputMessage="false" sqref="G12:G311" type="custom">
      <formula1>AND(ISNUMBER(G12),G12&gt;=0,G12&lt;=9999.99,ROUND(G12,2)=G12)</formula1>
      <formula2>0</formula2>
    </dataValidation>
    <dataValidation allowBlank="true" error="Other monthly costs: a number (0 is allowed), up to 2 decimals." errorStyle="stop" errorTitle="Other monthly costs" operator="between" showDropDown="false" showErrorMessage="true" showInputMessage="false" sqref="H12:H311" type="custom">
      <formula1>AND(ISNUMBER(H12),H12&gt;=0,H12&lt;=99999.99,ROUND(H12,2)=H12)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2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34"/>
    <col collapsed="false" customWidth="true" hidden="false" outlineLevel="0" max="9" min="9" style="0" width="8"/>
  </cols>
  <sheetData>
    <row r="1" customFormat="false" ht="19.7" hidden="false" customHeight="false" outlineLevel="0" collapsed="false">
      <c r="A1" s="24" t="s">
        <v>33</v>
      </c>
    </row>
    <row r="2" customFormat="false" ht="15" hidden="false" customHeight="false" outlineLevel="0" collapsed="false">
      <c r="A2" s="25" t="str">
        <f aca="false">IF(SettingsOK,"Basis: labor "&amp;TEXT(Accounts!$B$5,"$#,##0.00")&amp;"/hour · vehicle "&amp;TEXT(Accounts!$B$6,"$#,##0.00")&amp;"/mile"&amp;IF(Accounts!$B$6=0," (no vehicle cost included)","")&amp;" · target margin "&amp;TEXT(Accounts!$D$7,"0.00")&amp;"% · monthly figures on your entered costs.","Settings are incomplete on the Accounts sheet, so there are no results.")</f>
        <v>Settings are incomplete on the Accounts sheet, so there are no results.</v>
      </c>
      <c r="B2" s="25"/>
      <c r="C2" s="25"/>
      <c r="D2" s="25"/>
      <c r="E2" s="25"/>
      <c r="F2" s="25"/>
      <c r="G2" s="25"/>
      <c r="H2" s="25"/>
    </row>
    <row r="3" customFormat="false" ht="25.5" hidden="false" customHeight="true" outlineLevel="0" collapsed="false">
      <c r="A3" s="25" t="str">
        <f aca="false">IF($B$5="Needs review","No-fee accounts first, then lowest margin first. ",IF($B$5="All accounts","Accounts needing inputs first (in row order), then no-fee accounts, then lowest margin first. ","Accounts with missing or invalid inputs, in row order. "))&amp;COUNT($I$9:$I$308)&amp;" account(s) listed."&amp;IF(AND($B$5&lt;&gt;"Check inputs",COUNTIF(Accounts!$R$12:$R$311,"Check inputs")&gt;0)," "&amp;COUNTIF(Accounts!$R$12:$R$311,"Check inputs")&amp;" account(s) with missing inputs aren't on this list.","")</f>
        <v>No-fee accounts first, then lowest margin first. 0 account(s) listed.</v>
      </c>
      <c r="B3" s="25"/>
      <c r="C3" s="25"/>
      <c r="D3" s="25"/>
      <c r="E3" s="25"/>
      <c r="F3" s="25"/>
      <c r="G3" s="25"/>
      <c r="H3" s="25"/>
    </row>
    <row r="4" customFormat="false" ht="25.5" hidden="false" customHeight="true" outlineLevel="0" collapsed="false">
      <c r="A4" s="25" t="str">
        <f aca="false">Accounts!B10</f>
        <v/>
      </c>
      <c r="B4" s="25"/>
      <c r="C4" s="25"/>
      <c r="D4" s="25"/>
      <c r="E4" s="25"/>
      <c r="F4" s="25"/>
      <c r="G4" s="25"/>
      <c r="H4" s="25"/>
    </row>
    <row r="5" customFormat="false" ht="25.5" hidden="false" customHeight="true" outlineLevel="0" collapsed="false">
      <c r="A5" s="3" t="s">
        <v>34</v>
      </c>
      <c r="B5" s="26" t="s">
        <v>35</v>
      </c>
      <c r="C5" s="27" t="s">
        <v>36</v>
      </c>
      <c r="D5" s="27"/>
      <c r="E5" s="27"/>
      <c r="F5" s="27"/>
      <c r="G5" s="27"/>
      <c r="H5" s="27"/>
    </row>
    <row r="8" customFormat="false" ht="23.85" hidden="false" customHeight="false" outlineLevel="0" collapsed="false">
      <c r="A8" s="28" t="s">
        <v>37</v>
      </c>
      <c r="B8" s="28" t="s">
        <v>14</v>
      </c>
      <c r="C8" s="28" t="s">
        <v>38</v>
      </c>
      <c r="D8" s="28" t="s">
        <v>39</v>
      </c>
      <c r="E8" s="28" t="s">
        <v>40</v>
      </c>
      <c r="F8" s="28" t="s">
        <v>41</v>
      </c>
      <c r="G8" s="28" t="s">
        <v>42</v>
      </c>
      <c r="H8" s="28" t="s">
        <v>43</v>
      </c>
      <c r="I8" s="29" t="s">
        <v>44</v>
      </c>
    </row>
    <row r="9" customFormat="false" ht="15" hidden="false" customHeight="false" outlineLevel="0" collapsed="false">
      <c r="A9" s="22" t="str">
        <f aca="false">IF($I9="","",INDEX(Accounts!$A$12:$A$311,MATCH($I9,Accounts!$T$12:$T$311,0))&amp;"")</f>
        <v/>
      </c>
      <c r="B9" s="30" t="str">
        <f aca="false">IF($I9="","",IF(INDEX(Accounts!$R$12:$R$311,MATCH($I9,Accounts!$T$12:$T$311,0))="Check inputs","—",INDEX(Accounts!$B$12:$B$311,MATCH($I9,Accounts!$T$12:$T$311,0))))</f>
        <v/>
      </c>
      <c r="C9" s="30" t="str">
        <f aca="false">IF($I9="","",IF(INDEX(Accounts!$R$12:$R$311,MATCH($I9,Accounts!$T$12:$T$311,0))="Check inputs","—",INDEX(Accounts!$M$12:$M$311,MATCH($I9,Accounts!$T$12:$T$311,0))))</f>
        <v/>
      </c>
      <c r="D9" s="30" t="str">
        <f aca="false">IF($I9="","",IF(INDEX(Accounts!$R$12:$R$311,MATCH($I9,Accounts!$T$12:$T$311,0))="Check inputs","—",INDEX(Accounts!$N$12:$N$311,MATCH($I9,Accounts!$T$12:$T$311,0))))</f>
        <v/>
      </c>
      <c r="E9" s="31" t="str">
        <f aca="false">IF($I9="","",IF(INDEX(Accounts!$R$12:$R$311,MATCH($I9,Accounts!$T$12:$T$311,0))="Check inputs","—",INDEX(Accounts!$O$12:$O$311,MATCH($I9,Accounts!$T$12:$T$311,0))))</f>
        <v/>
      </c>
      <c r="F9" s="30" t="str">
        <f aca="false">IF($I9="","",IF(INDEX(Accounts!$R$12:$R$311,MATCH($I9,Accounts!$T$12:$T$311,0))="Check inputs","—",INDEX(Accounts!$P$12:$P$311,MATCH($I9,Accounts!$T$12:$T$311,0))))</f>
        <v/>
      </c>
      <c r="G9" s="30" t="str">
        <f aca="false">IF($I9="","",IF(INDEX(Accounts!$R$12:$R$311,MATCH($I9,Accounts!$T$12:$T$311,0))="Check inputs","—",INDEX(Accounts!$Q$12:$Q$311,MATCH($I9,Accounts!$T$12:$T$311,0))))</f>
        <v/>
      </c>
      <c r="H9" s="32" t="str">
        <f aca="false">IF($I9="","",IF(INDEX(Accounts!$R$12:$R$311,MATCH($I9,Accounts!$T$12:$T$311,0))="Check inputs","Check inputs: "&amp;INDEX(Accounts!$S$12:$S$311,MATCH($I9,Accounts!$T$12:$T$311,0)),INDEX(Accounts!$R$12:$R$311,MATCH($I9,Accounts!$T$12:$T$311,0))))</f>
        <v/>
      </c>
      <c r="I9" s="33" t="str">
        <f aca="false">IF(1&gt;COUNT(Accounts!$T$12:$T$311),"",SMALL(Accounts!$T$12:$T$311,1))</f>
        <v/>
      </c>
    </row>
    <row r="10" customFormat="false" ht="15" hidden="false" customHeight="false" outlineLevel="0" collapsed="false">
      <c r="A10" s="22" t="str">
        <f aca="false">IF($I10="","",INDEX(Accounts!$A$12:$A$311,MATCH($I10,Accounts!$T$12:$T$311,0))&amp;"")</f>
        <v/>
      </c>
      <c r="B10" s="30" t="str">
        <f aca="false">IF($I10="","",IF(INDEX(Accounts!$R$12:$R$311,MATCH($I10,Accounts!$T$12:$T$311,0))="Check inputs","—",INDEX(Accounts!$B$12:$B$311,MATCH($I10,Accounts!$T$12:$T$311,0))))</f>
        <v/>
      </c>
      <c r="C10" s="30" t="str">
        <f aca="false">IF($I10="","",IF(INDEX(Accounts!$R$12:$R$311,MATCH($I10,Accounts!$T$12:$T$311,0))="Check inputs","—",INDEX(Accounts!$M$12:$M$311,MATCH($I10,Accounts!$T$12:$T$311,0))))</f>
        <v/>
      </c>
      <c r="D10" s="30" t="str">
        <f aca="false">IF($I10="","",IF(INDEX(Accounts!$R$12:$R$311,MATCH($I10,Accounts!$T$12:$T$311,0))="Check inputs","—",INDEX(Accounts!$N$12:$N$311,MATCH($I10,Accounts!$T$12:$T$311,0))))</f>
        <v/>
      </c>
      <c r="E10" s="31" t="str">
        <f aca="false">IF($I10="","",IF(INDEX(Accounts!$R$12:$R$311,MATCH($I10,Accounts!$T$12:$T$311,0))="Check inputs","—",INDEX(Accounts!$O$12:$O$311,MATCH($I10,Accounts!$T$12:$T$311,0))))</f>
        <v/>
      </c>
      <c r="F10" s="30" t="str">
        <f aca="false">IF($I10="","",IF(INDEX(Accounts!$R$12:$R$311,MATCH($I10,Accounts!$T$12:$T$311,0))="Check inputs","—",INDEX(Accounts!$P$12:$P$311,MATCH($I10,Accounts!$T$12:$T$311,0))))</f>
        <v/>
      </c>
      <c r="G10" s="30" t="str">
        <f aca="false">IF($I10="","",IF(INDEX(Accounts!$R$12:$R$311,MATCH($I10,Accounts!$T$12:$T$311,0))="Check inputs","—",INDEX(Accounts!$Q$12:$Q$311,MATCH($I10,Accounts!$T$12:$T$311,0))))</f>
        <v/>
      </c>
      <c r="H10" s="32" t="str">
        <f aca="false">IF($I10="","",IF(INDEX(Accounts!$R$12:$R$311,MATCH($I10,Accounts!$T$12:$T$311,0))="Check inputs","Check inputs: "&amp;INDEX(Accounts!$S$12:$S$311,MATCH($I10,Accounts!$T$12:$T$311,0)),INDEX(Accounts!$R$12:$R$311,MATCH($I10,Accounts!$T$12:$T$311,0))))</f>
        <v/>
      </c>
      <c r="I10" s="33" t="str">
        <f aca="false">IF(2&gt;COUNT(Accounts!$T$12:$T$311),"",SMALL(Accounts!$T$12:$T$311,2))</f>
        <v/>
      </c>
    </row>
    <row r="11" customFormat="false" ht="15" hidden="false" customHeight="false" outlineLevel="0" collapsed="false">
      <c r="A11" s="22" t="str">
        <f aca="false">IF($I11="","",INDEX(Accounts!$A$12:$A$311,MATCH($I11,Accounts!$T$12:$T$311,0))&amp;"")</f>
        <v/>
      </c>
      <c r="B11" s="30" t="str">
        <f aca="false">IF($I11="","",IF(INDEX(Accounts!$R$12:$R$311,MATCH($I11,Accounts!$T$12:$T$311,0))="Check inputs","—",INDEX(Accounts!$B$12:$B$311,MATCH($I11,Accounts!$T$12:$T$311,0))))</f>
        <v/>
      </c>
      <c r="C11" s="30" t="str">
        <f aca="false">IF($I11="","",IF(INDEX(Accounts!$R$12:$R$311,MATCH($I11,Accounts!$T$12:$T$311,0))="Check inputs","—",INDEX(Accounts!$M$12:$M$311,MATCH($I11,Accounts!$T$12:$T$311,0))))</f>
        <v/>
      </c>
      <c r="D11" s="30" t="str">
        <f aca="false">IF($I11="","",IF(INDEX(Accounts!$R$12:$R$311,MATCH($I11,Accounts!$T$12:$T$311,0))="Check inputs","—",INDEX(Accounts!$N$12:$N$311,MATCH($I11,Accounts!$T$12:$T$311,0))))</f>
        <v/>
      </c>
      <c r="E11" s="31" t="str">
        <f aca="false">IF($I11="","",IF(INDEX(Accounts!$R$12:$R$311,MATCH($I11,Accounts!$T$12:$T$311,0))="Check inputs","—",INDEX(Accounts!$O$12:$O$311,MATCH($I11,Accounts!$T$12:$T$311,0))))</f>
        <v/>
      </c>
      <c r="F11" s="30" t="str">
        <f aca="false">IF($I11="","",IF(INDEX(Accounts!$R$12:$R$311,MATCH($I11,Accounts!$T$12:$T$311,0))="Check inputs","—",INDEX(Accounts!$P$12:$P$311,MATCH($I11,Accounts!$T$12:$T$311,0))))</f>
        <v/>
      </c>
      <c r="G11" s="30" t="str">
        <f aca="false">IF($I11="","",IF(INDEX(Accounts!$R$12:$R$311,MATCH($I11,Accounts!$T$12:$T$311,0))="Check inputs","—",INDEX(Accounts!$Q$12:$Q$311,MATCH($I11,Accounts!$T$12:$T$311,0))))</f>
        <v/>
      </c>
      <c r="H11" s="32" t="str">
        <f aca="false">IF($I11="","",IF(INDEX(Accounts!$R$12:$R$311,MATCH($I11,Accounts!$T$12:$T$311,0))="Check inputs","Check inputs: "&amp;INDEX(Accounts!$S$12:$S$311,MATCH($I11,Accounts!$T$12:$T$311,0)),INDEX(Accounts!$R$12:$R$311,MATCH($I11,Accounts!$T$12:$T$311,0))))</f>
        <v/>
      </c>
      <c r="I11" s="33" t="str">
        <f aca="false">IF(3&gt;COUNT(Accounts!$T$12:$T$311),"",SMALL(Accounts!$T$12:$T$311,3))</f>
        <v/>
      </c>
    </row>
    <row r="12" customFormat="false" ht="15" hidden="false" customHeight="false" outlineLevel="0" collapsed="false">
      <c r="A12" s="22" t="str">
        <f aca="false">IF($I12="","",INDEX(Accounts!$A$12:$A$311,MATCH($I12,Accounts!$T$12:$T$311,0))&amp;"")</f>
        <v/>
      </c>
      <c r="B12" s="30" t="str">
        <f aca="false">IF($I12="","",IF(INDEX(Accounts!$R$12:$R$311,MATCH($I12,Accounts!$T$12:$T$311,0))="Check inputs","—",INDEX(Accounts!$B$12:$B$311,MATCH($I12,Accounts!$T$12:$T$311,0))))</f>
        <v/>
      </c>
      <c r="C12" s="30" t="str">
        <f aca="false">IF($I12="","",IF(INDEX(Accounts!$R$12:$R$311,MATCH($I12,Accounts!$T$12:$T$311,0))="Check inputs","—",INDEX(Accounts!$M$12:$M$311,MATCH($I12,Accounts!$T$12:$T$311,0))))</f>
        <v/>
      </c>
      <c r="D12" s="30" t="str">
        <f aca="false">IF($I12="","",IF(INDEX(Accounts!$R$12:$R$311,MATCH($I12,Accounts!$T$12:$T$311,0))="Check inputs","—",INDEX(Accounts!$N$12:$N$311,MATCH($I12,Accounts!$T$12:$T$311,0))))</f>
        <v/>
      </c>
      <c r="E12" s="31" t="str">
        <f aca="false">IF($I12="","",IF(INDEX(Accounts!$R$12:$R$311,MATCH($I12,Accounts!$T$12:$T$311,0))="Check inputs","—",INDEX(Accounts!$O$12:$O$311,MATCH($I12,Accounts!$T$12:$T$311,0))))</f>
        <v/>
      </c>
      <c r="F12" s="30" t="str">
        <f aca="false">IF($I12="","",IF(INDEX(Accounts!$R$12:$R$311,MATCH($I12,Accounts!$T$12:$T$311,0))="Check inputs","—",INDEX(Accounts!$P$12:$P$311,MATCH($I12,Accounts!$T$12:$T$311,0))))</f>
        <v/>
      </c>
      <c r="G12" s="30" t="str">
        <f aca="false">IF($I12="","",IF(INDEX(Accounts!$R$12:$R$311,MATCH($I12,Accounts!$T$12:$T$311,0))="Check inputs","—",INDEX(Accounts!$Q$12:$Q$311,MATCH($I12,Accounts!$T$12:$T$311,0))))</f>
        <v/>
      </c>
      <c r="H12" s="32" t="str">
        <f aca="false">IF($I12="","",IF(INDEX(Accounts!$R$12:$R$311,MATCH($I12,Accounts!$T$12:$T$311,0))="Check inputs","Check inputs: "&amp;INDEX(Accounts!$S$12:$S$311,MATCH($I12,Accounts!$T$12:$T$311,0)),INDEX(Accounts!$R$12:$R$311,MATCH($I12,Accounts!$T$12:$T$311,0))))</f>
        <v/>
      </c>
      <c r="I12" s="33" t="str">
        <f aca="false">IF(4&gt;COUNT(Accounts!$T$12:$T$311),"",SMALL(Accounts!$T$12:$T$311,4))</f>
        <v/>
      </c>
    </row>
    <row r="13" customFormat="false" ht="15" hidden="false" customHeight="false" outlineLevel="0" collapsed="false">
      <c r="A13" s="22" t="str">
        <f aca="false">IF($I13="","",INDEX(Accounts!$A$12:$A$311,MATCH($I13,Accounts!$T$12:$T$311,0))&amp;"")</f>
        <v/>
      </c>
      <c r="B13" s="30" t="str">
        <f aca="false">IF($I13="","",IF(INDEX(Accounts!$R$12:$R$311,MATCH($I13,Accounts!$T$12:$T$311,0))="Check inputs","—",INDEX(Accounts!$B$12:$B$311,MATCH($I13,Accounts!$T$12:$T$311,0))))</f>
        <v/>
      </c>
      <c r="C13" s="30" t="str">
        <f aca="false">IF($I13="","",IF(INDEX(Accounts!$R$12:$R$311,MATCH($I13,Accounts!$T$12:$T$311,0))="Check inputs","—",INDEX(Accounts!$M$12:$M$311,MATCH($I13,Accounts!$T$12:$T$311,0))))</f>
        <v/>
      </c>
      <c r="D13" s="30" t="str">
        <f aca="false">IF($I13="","",IF(INDEX(Accounts!$R$12:$R$311,MATCH($I13,Accounts!$T$12:$T$311,0))="Check inputs","—",INDEX(Accounts!$N$12:$N$311,MATCH($I13,Accounts!$T$12:$T$311,0))))</f>
        <v/>
      </c>
      <c r="E13" s="31" t="str">
        <f aca="false">IF($I13="","",IF(INDEX(Accounts!$R$12:$R$311,MATCH($I13,Accounts!$T$12:$T$311,0))="Check inputs","—",INDEX(Accounts!$O$12:$O$311,MATCH($I13,Accounts!$T$12:$T$311,0))))</f>
        <v/>
      </c>
      <c r="F13" s="30" t="str">
        <f aca="false">IF($I13="","",IF(INDEX(Accounts!$R$12:$R$311,MATCH($I13,Accounts!$T$12:$T$311,0))="Check inputs","—",INDEX(Accounts!$P$12:$P$311,MATCH($I13,Accounts!$T$12:$T$311,0))))</f>
        <v/>
      </c>
      <c r="G13" s="30" t="str">
        <f aca="false">IF($I13="","",IF(INDEX(Accounts!$R$12:$R$311,MATCH($I13,Accounts!$T$12:$T$311,0))="Check inputs","—",INDEX(Accounts!$Q$12:$Q$311,MATCH($I13,Accounts!$T$12:$T$311,0))))</f>
        <v/>
      </c>
      <c r="H13" s="32" t="str">
        <f aca="false">IF($I13="","",IF(INDEX(Accounts!$R$12:$R$311,MATCH($I13,Accounts!$T$12:$T$311,0))="Check inputs","Check inputs: "&amp;INDEX(Accounts!$S$12:$S$311,MATCH($I13,Accounts!$T$12:$T$311,0)),INDEX(Accounts!$R$12:$R$311,MATCH($I13,Accounts!$T$12:$T$311,0))))</f>
        <v/>
      </c>
      <c r="I13" s="33" t="str">
        <f aca="false">IF(5&gt;COUNT(Accounts!$T$12:$T$311),"",SMALL(Accounts!$T$12:$T$311,5))</f>
        <v/>
      </c>
    </row>
    <row r="14" customFormat="false" ht="15" hidden="false" customHeight="false" outlineLevel="0" collapsed="false">
      <c r="A14" s="22" t="str">
        <f aca="false">IF($I14="","",INDEX(Accounts!$A$12:$A$311,MATCH($I14,Accounts!$T$12:$T$311,0))&amp;"")</f>
        <v/>
      </c>
      <c r="B14" s="30" t="str">
        <f aca="false">IF($I14="","",IF(INDEX(Accounts!$R$12:$R$311,MATCH($I14,Accounts!$T$12:$T$311,0))="Check inputs","—",INDEX(Accounts!$B$12:$B$311,MATCH($I14,Accounts!$T$12:$T$311,0))))</f>
        <v/>
      </c>
      <c r="C14" s="30" t="str">
        <f aca="false">IF($I14="","",IF(INDEX(Accounts!$R$12:$R$311,MATCH($I14,Accounts!$T$12:$T$311,0))="Check inputs","—",INDEX(Accounts!$M$12:$M$311,MATCH($I14,Accounts!$T$12:$T$311,0))))</f>
        <v/>
      </c>
      <c r="D14" s="30" t="str">
        <f aca="false">IF($I14="","",IF(INDEX(Accounts!$R$12:$R$311,MATCH($I14,Accounts!$T$12:$T$311,0))="Check inputs","—",INDEX(Accounts!$N$12:$N$311,MATCH($I14,Accounts!$T$12:$T$311,0))))</f>
        <v/>
      </c>
      <c r="E14" s="31" t="str">
        <f aca="false">IF($I14="","",IF(INDEX(Accounts!$R$12:$R$311,MATCH($I14,Accounts!$T$12:$T$311,0))="Check inputs","—",INDEX(Accounts!$O$12:$O$311,MATCH($I14,Accounts!$T$12:$T$311,0))))</f>
        <v/>
      </c>
      <c r="F14" s="30" t="str">
        <f aca="false">IF($I14="","",IF(INDEX(Accounts!$R$12:$R$311,MATCH($I14,Accounts!$T$12:$T$311,0))="Check inputs","—",INDEX(Accounts!$P$12:$P$311,MATCH($I14,Accounts!$T$12:$T$311,0))))</f>
        <v/>
      </c>
      <c r="G14" s="30" t="str">
        <f aca="false">IF($I14="","",IF(INDEX(Accounts!$R$12:$R$311,MATCH($I14,Accounts!$T$12:$T$311,0))="Check inputs","—",INDEX(Accounts!$Q$12:$Q$311,MATCH($I14,Accounts!$T$12:$T$311,0))))</f>
        <v/>
      </c>
      <c r="H14" s="32" t="str">
        <f aca="false">IF($I14="","",IF(INDEX(Accounts!$R$12:$R$311,MATCH($I14,Accounts!$T$12:$T$311,0))="Check inputs","Check inputs: "&amp;INDEX(Accounts!$S$12:$S$311,MATCH($I14,Accounts!$T$12:$T$311,0)),INDEX(Accounts!$R$12:$R$311,MATCH($I14,Accounts!$T$12:$T$311,0))))</f>
        <v/>
      </c>
      <c r="I14" s="33" t="str">
        <f aca="false">IF(6&gt;COUNT(Accounts!$T$12:$T$311),"",SMALL(Accounts!$T$12:$T$311,6))</f>
        <v/>
      </c>
    </row>
    <row r="15" customFormat="false" ht="15" hidden="false" customHeight="false" outlineLevel="0" collapsed="false">
      <c r="A15" s="22" t="str">
        <f aca="false">IF($I15="","",INDEX(Accounts!$A$12:$A$311,MATCH($I15,Accounts!$T$12:$T$311,0))&amp;"")</f>
        <v/>
      </c>
      <c r="B15" s="30" t="str">
        <f aca="false">IF($I15="","",IF(INDEX(Accounts!$R$12:$R$311,MATCH($I15,Accounts!$T$12:$T$311,0))="Check inputs","—",INDEX(Accounts!$B$12:$B$311,MATCH($I15,Accounts!$T$12:$T$311,0))))</f>
        <v/>
      </c>
      <c r="C15" s="30" t="str">
        <f aca="false">IF($I15="","",IF(INDEX(Accounts!$R$12:$R$311,MATCH($I15,Accounts!$T$12:$T$311,0))="Check inputs","—",INDEX(Accounts!$M$12:$M$311,MATCH($I15,Accounts!$T$12:$T$311,0))))</f>
        <v/>
      </c>
      <c r="D15" s="30" t="str">
        <f aca="false">IF($I15="","",IF(INDEX(Accounts!$R$12:$R$311,MATCH($I15,Accounts!$T$12:$T$311,0))="Check inputs","—",INDEX(Accounts!$N$12:$N$311,MATCH($I15,Accounts!$T$12:$T$311,0))))</f>
        <v/>
      </c>
      <c r="E15" s="31" t="str">
        <f aca="false">IF($I15="","",IF(INDEX(Accounts!$R$12:$R$311,MATCH($I15,Accounts!$T$12:$T$311,0))="Check inputs","—",INDEX(Accounts!$O$12:$O$311,MATCH($I15,Accounts!$T$12:$T$311,0))))</f>
        <v/>
      </c>
      <c r="F15" s="30" t="str">
        <f aca="false">IF($I15="","",IF(INDEX(Accounts!$R$12:$R$311,MATCH($I15,Accounts!$T$12:$T$311,0))="Check inputs","—",INDEX(Accounts!$P$12:$P$311,MATCH($I15,Accounts!$T$12:$T$311,0))))</f>
        <v/>
      </c>
      <c r="G15" s="30" t="str">
        <f aca="false">IF($I15="","",IF(INDEX(Accounts!$R$12:$R$311,MATCH($I15,Accounts!$T$12:$T$311,0))="Check inputs","—",INDEX(Accounts!$Q$12:$Q$311,MATCH($I15,Accounts!$T$12:$T$311,0))))</f>
        <v/>
      </c>
      <c r="H15" s="32" t="str">
        <f aca="false">IF($I15="","",IF(INDEX(Accounts!$R$12:$R$311,MATCH($I15,Accounts!$T$12:$T$311,0))="Check inputs","Check inputs: "&amp;INDEX(Accounts!$S$12:$S$311,MATCH($I15,Accounts!$T$12:$T$311,0)),INDEX(Accounts!$R$12:$R$311,MATCH($I15,Accounts!$T$12:$T$311,0))))</f>
        <v/>
      </c>
      <c r="I15" s="33" t="str">
        <f aca="false">IF(7&gt;COUNT(Accounts!$T$12:$T$311),"",SMALL(Accounts!$T$12:$T$311,7))</f>
        <v/>
      </c>
    </row>
    <row r="16" customFormat="false" ht="15" hidden="false" customHeight="false" outlineLevel="0" collapsed="false">
      <c r="A16" s="22" t="str">
        <f aca="false">IF($I16="","",INDEX(Accounts!$A$12:$A$311,MATCH($I16,Accounts!$T$12:$T$311,0))&amp;"")</f>
        <v/>
      </c>
      <c r="B16" s="30" t="str">
        <f aca="false">IF($I16="","",IF(INDEX(Accounts!$R$12:$R$311,MATCH($I16,Accounts!$T$12:$T$311,0))="Check inputs","—",INDEX(Accounts!$B$12:$B$311,MATCH($I16,Accounts!$T$12:$T$311,0))))</f>
        <v/>
      </c>
      <c r="C16" s="30" t="str">
        <f aca="false">IF($I16="","",IF(INDEX(Accounts!$R$12:$R$311,MATCH($I16,Accounts!$T$12:$T$311,0))="Check inputs","—",INDEX(Accounts!$M$12:$M$311,MATCH($I16,Accounts!$T$12:$T$311,0))))</f>
        <v/>
      </c>
      <c r="D16" s="30" t="str">
        <f aca="false">IF($I16="","",IF(INDEX(Accounts!$R$12:$R$311,MATCH($I16,Accounts!$T$12:$T$311,0))="Check inputs","—",INDEX(Accounts!$N$12:$N$311,MATCH($I16,Accounts!$T$12:$T$311,0))))</f>
        <v/>
      </c>
      <c r="E16" s="31" t="str">
        <f aca="false">IF($I16="","",IF(INDEX(Accounts!$R$12:$R$311,MATCH($I16,Accounts!$T$12:$T$311,0))="Check inputs","—",INDEX(Accounts!$O$12:$O$311,MATCH($I16,Accounts!$T$12:$T$311,0))))</f>
        <v/>
      </c>
      <c r="F16" s="30" t="str">
        <f aca="false">IF($I16="","",IF(INDEX(Accounts!$R$12:$R$311,MATCH($I16,Accounts!$T$12:$T$311,0))="Check inputs","—",INDEX(Accounts!$P$12:$P$311,MATCH($I16,Accounts!$T$12:$T$311,0))))</f>
        <v/>
      </c>
      <c r="G16" s="30" t="str">
        <f aca="false">IF($I16="","",IF(INDEX(Accounts!$R$12:$R$311,MATCH($I16,Accounts!$T$12:$T$311,0))="Check inputs","—",INDEX(Accounts!$Q$12:$Q$311,MATCH($I16,Accounts!$T$12:$T$311,0))))</f>
        <v/>
      </c>
      <c r="H16" s="32" t="str">
        <f aca="false">IF($I16="","",IF(INDEX(Accounts!$R$12:$R$311,MATCH($I16,Accounts!$T$12:$T$311,0))="Check inputs","Check inputs: "&amp;INDEX(Accounts!$S$12:$S$311,MATCH($I16,Accounts!$T$12:$T$311,0)),INDEX(Accounts!$R$12:$R$311,MATCH($I16,Accounts!$T$12:$T$311,0))))</f>
        <v/>
      </c>
      <c r="I16" s="33" t="str">
        <f aca="false">IF(8&gt;COUNT(Accounts!$T$12:$T$311),"",SMALL(Accounts!$T$12:$T$311,8))</f>
        <v/>
      </c>
    </row>
    <row r="17" customFormat="false" ht="15" hidden="false" customHeight="false" outlineLevel="0" collapsed="false">
      <c r="A17" s="22" t="str">
        <f aca="false">IF($I17="","",INDEX(Accounts!$A$12:$A$311,MATCH($I17,Accounts!$T$12:$T$311,0))&amp;"")</f>
        <v/>
      </c>
      <c r="B17" s="30" t="str">
        <f aca="false">IF($I17="","",IF(INDEX(Accounts!$R$12:$R$311,MATCH($I17,Accounts!$T$12:$T$311,0))="Check inputs","—",INDEX(Accounts!$B$12:$B$311,MATCH($I17,Accounts!$T$12:$T$311,0))))</f>
        <v/>
      </c>
      <c r="C17" s="30" t="str">
        <f aca="false">IF($I17="","",IF(INDEX(Accounts!$R$12:$R$311,MATCH($I17,Accounts!$T$12:$T$311,0))="Check inputs","—",INDEX(Accounts!$M$12:$M$311,MATCH($I17,Accounts!$T$12:$T$311,0))))</f>
        <v/>
      </c>
      <c r="D17" s="30" t="str">
        <f aca="false">IF($I17="","",IF(INDEX(Accounts!$R$12:$R$311,MATCH($I17,Accounts!$T$12:$T$311,0))="Check inputs","—",INDEX(Accounts!$N$12:$N$311,MATCH($I17,Accounts!$T$12:$T$311,0))))</f>
        <v/>
      </c>
      <c r="E17" s="31" t="str">
        <f aca="false">IF($I17="","",IF(INDEX(Accounts!$R$12:$R$311,MATCH($I17,Accounts!$T$12:$T$311,0))="Check inputs","—",INDEX(Accounts!$O$12:$O$311,MATCH($I17,Accounts!$T$12:$T$311,0))))</f>
        <v/>
      </c>
      <c r="F17" s="30" t="str">
        <f aca="false">IF($I17="","",IF(INDEX(Accounts!$R$12:$R$311,MATCH($I17,Accounts!$T$12:$T$311,0))="Check inputs","—",INDEX(Accounts!$P$12:$P$311,MATCH($I17,Accounts!$T$12:$T$311,0))))</f>
        <v/>
      </c>
      <c r="G17" s="30" t="str">
        <f aca="false">IF($I17="","",IF(INDEX(Accounts!$R$12:$R$311,MATCH($I17,Accounts!$T$12:$T$311,0))="Check inputs","—",INDEX(Accounts!$Q$12:$Q$311,MATCH($I17,Accounts!$T$12:$T$311,0))))</f>
        <v/>
      </c>
      <c r="H17" s="32" t="str">
        <f aca="false">IF($I17="","",IF(INDEX(Accounts!$R$12:$R$311,MATCH($I17,Accounts!$T$12:$T$311,0))="Check inputs","Check inputs: "&amp;INDEX(Accounts!$S$12:$S$311,MATCH($I17,Accounts!$T$12:$T$311,0)),INDEX(Accounts!$R$12:$R$311,MATCH($I17,Accounts!$T$12:$T$311,0))))</f>
        <v/>
      </c>
      <c r="I17" s="33" t="str">
        <f aca="false">IF(9&gt;COUNT(Accounts!$T$12:$T$311),"",SMALL(Accounts!$T$12:$T$311,9))</f>
        <v/>
      </c>
    </row>
    <row r="18" customFormat="false" ht="15" hidden="false" customHeight="false" outlineLevel="0" collapsed="false">
      <c r="A18" s="22" t="str">
        <f aca="false">IF($I18="","",INDEX(Accounts!$A$12:$A$311,MATCH($I18,Accounts!$T$12:$T$311,0))&amp;"")</f>
        <v/>
      </c>
      <c r="B18" s="30" t="str">
        <f aca="false">IF($I18="","",IF(INDEX(Accounts!$R$12:$R$311,MATCH($I18,Accounts!$T$12:$T$311,0))="Check inputs","—",INDEX(Accounts!$B$12:$B$311,MATCH($I18,Accounts!$T$12:$T$311,0))))</f>
        <v/>
      </c>
      <c r="C18" s="30" t="str">
        <f aca="false">IF($I18="","",IF(INDEX(Accounts!$R$12:$R$311,MATCH($I18,Accounts!$T$12:$T$311,0))="Check inputs","—",INDEX(Accounts!$M$12:$M$311,MATCH($I18,Accounts!$T$12:$T$311,0))))</f>
        <v/>
      </c>
      <c r="D18" s="30" t="str">
        <f aca="false">IF($I18="","",IF(INDEX(Accounts!$R$12:$R$311,MATCH($I18,Accounts!$T$12:$T$311,0))="Check inputs","—",INDEX(Accounts!$N$12:$N$311,MATCH($I18,Accounts!$T$12:$T$311,0))))</f>
        <v/>
      </c>
      <c r="E18" s="31" t="str">
        <f aca="false">IF($I18="","",IF(INDEX(Accounts!$R$12:$R$311,MATCH($I18,Accounts!$T$12:$T$311,0))="Check inputs","—",INDEX(Accounts!$O$12:$O$311,MATCH($I18,Accounts!$T$12:$T$311,0))))</f>
        <v/>
      </c>
      <c r="F18" s="30" t="str">
        <f aca="false">IF($I18="","",IF(INDEX(Accounts!$R$12:$R$311,MATCH($I18,Accounts!$T$12:$T$311,0))="Check inputs","—",INDEX(Accounts!$P$12:$P$311,MATCH($I18,Accounts!$T$12:$T$311,0))))</f>
        <v/>
      </c>
      <c r="G18" s="30" t="str">
        <f aca="false">IF($I18="","",IF(INDEX(Accounts!$R$12:$R$311,MATCH($I18,Accounts!$T$12:$T$311,0))="Check inputs","—",INDEX(Accounts!$Q$12:$Q$311,MATCH($I18,Accounts!$T$12:$T$311,0))))</f>
        <v/>
      </c>
      <c r="H18" s="32" t="str">
        <f aca="false">IF($I18="","",IF(INDEX(Accounts!$R$12:$R$311,MATCH($I18,Accounts!$T$12:$T$311,0))="Check inputs","Check inputs: "&amp;INDEX(Accounts!$S$12:$S$311,MATCH($I18,Accounts!$T$12:$T$311,0)),INDEX(Accounts!$R$12:$R$311,MATCH($I18,Accounts!$T$12:$T$311,0))))</f>
        <v/>
      </c>
      <c r="I18" s="33" t="str">
        <f aca="false">IF(10&gt;COUNT(Accounts!$T$12:$T$311),"",SMALL(Accounts!$T$12:$T$311,10))</f>
        <v/>
      </c>
    </row>
    <row r="19" customFormat="false" ht="15" hidden="false" customHeight="false" outlineLevel="0" collapsed="false">
      <c r="A19" s="22" t="str">
        <f aca="false">IF($I19="","",INDEX(Accounts!$A$12:$A$311,MATCH($I19,Accounts!$T$12:$T$311,0))&amp;"")</f>
        <v/>
      </c>
      <c r="B19" s="30" t="str">
        <f aca="false">IF($I19="","",IF(INDEX(Accounts!$R$12:$R$311,MATCH($I19,Accounts!$T$12:$T$311,0))="Check inputs","—",INDEX(Accounts!$B$12:$B$311,MATCH($I19,Accounts!$T$12:$T$311,0))))</f>
        <v/>
      </c>
      <c r="C19" s="30" t="str">
        <f aca="false">IF($I19="","",IF(INDEX(Accounts!$R$12:$R$311,MATCH($I19,Accounts!$T$12:$T$311,0))="Check inputs","—",INDEX(Accounts!$M$12:$M$311,MATCH($I19,Accounts!$T$12:$T$311,0))))</f>
        <v/>
      </c>
      <c r="D19" s="30" t="str">
        <f aca="false">IF($I19="","",IF(INDEX(Accounts!$R$12:$R$311,MATCH($I19,Accounts!$T$12:$T$311,0))="Check inputs","—",INDEX(Accounts!$N$12:$N$311,MATCH($I19,Accounts!$T$12:$T$311,0))))</f>
        <v/>
      </c>
      <c r="E19" s="31" t="str">
        <f aca="false">IF($I19="","",IF(INDEX(Accounts!$R$12:$R$311,MATCH($I19,Accounts!$T$12:$T$311,0))="Check inputs","—",INDEX(Accounts!$O$12:$O$311,MATCH($I19,Accounts!$T$12:$T$311,0))))</f>
        <v/>
      </c>
      <c r="F19" s="30" t="str">
        <f aca="false">IF($I19="","",IF(INDEX(Accounts!$R$12:$R$311,MATCH($I19,Accounts!$T$12:$T$311,0))="Check inputs","—",INDEX(Accounts!$P$12:$P$311,MATCH($I19,Accounts!$T$12:$T$311,0))))</f>
        <v/>
      </c>
      <c r="G19" s="30" t="str">
        <f aca="false">IF($I19="","",IF(INDEX(Accounts!$R$12:$R$311,MATCH($I19,Accounts!$T$12:$T$311,0))="Check inputs","—",INDEX(Accounts!$Q$12:$Q$311,MATCH($I19,Accounts!$T$12:$T$311,0))))</f>
        <v/>
      </c>
      <c r="H19" s="32" t="str">
        <f aca="false">IF($I19="","",IF(INDEX(Accounts!$R$12:$R$311,MATCH($I19,Accounts!$T$12:$T$311,0))="Check inputs","Check inputs: "&amp;INDEX(Accounts!$S$12:$S$311,MATCH($I19,Accounts!$T$12:$T$311,0)),INDEX(Accounts!$R$12:$R$311,MATCH($I19,Accounts!$T$12:$T$311,0))))</f>
        <v/>
      </c>
      <c r="I19" s="33" t="str">
        <f aca="false">IF(11&gt;COUNT(Accounts!$T$12:$T$311),"",SMALL(Accounts!$T$12:$T$311,11))</f>
        <v/>
      </c>
    </row>
    <row r="20" customFormat="false" ht="15" hidden="false" customHeight="false" outlineLevel="0" collapsed="false">
      <c r="A20" s="22" t="str">
        <f aca="false">IF($I20="","",INDEX(Accounts!$A$12:$A$311,MATCH($I20,Accounts!$T$12:$T$311,0))&amp;"")</f>
        <v/>
      </c>
      <c r="B20" s="30" t="str">
        <f aca="false">IF($I20="","",IF(INDEX(Accounts!$R$12:$R$311,MATCH($I20,Accounts!$T$12:$T$311,0))="Check inputs","—",INDEX(Accounts!$B$12:$B$311,MATCH($I20,Accounts!$T$12:$T$311,0))))</f>
        <v/>
      </c>
      <c r="C20" s="30" t="str">
        <f aca="false">IF($I20="","",IF(INDEX(Accounts!$R$12:$R$311,MATCH($I20,Accounts!$T$12:$T$311,0))="Check inputs","—",INDEX(Accounts!$M$12:$M$311,MATCH($I20,Accounts!$T$12:$T$311,0))))</f>
        <v/>
      </c>
      <c r="D20" s="30" t="str">
        <f aca="false">IF($I20="","",IF(INDEX(Accounts!$R$12:$R$311,MATCH($I20,Accounts!$T$12:$T$311,0))="Check inputs","—",INDEX(Accounts!$N$12:$N$311,MATCH($I20,Accounts!$T$12:$T$311,0))))</f>
        <v/>
      </c>
      <c r="E20" s="31" t="str">
        <f aca="false">IF($I20="","",IF(INDEX(Accounts!$R$12:$R$311,MATCH($I20,Accounts!$T$12:$T$311,0))="Check inputs","—",INDEX(Accounts!$O$12:$O$311,MATCH($I20,Accounts!$T$12:$T$311,0))))</f>
        <v/>
      </c>
      <c r="F20" s="30" t="str">
        <f aca="false">IF($I20="","",IF(INDEX(Accounts!$R$12:$R$311,MATCH($I20,Accounts!$T$12:$T$311,0))="Check inputs","—",INDEX(Accounts!$P$12:$P$311,MATCH($I20,Accounts!$T$12:$T$311,0))))</f>
        <v/>
      </c>
      <c r="G20" s="30" t="str">
        <f aca="false">IF($I20="","",IF(INDEX(Accounts!$R$12:$R$311,MATCH($I20,Accounts!$T$12:$T$311,0))="Check inputs","—",INDEX(Accounts!$Q$12:$Q$311,MATCH($I20,Accounts!$T$12:$T$311,0))))</f>
        <v/>
      </c>
      <c r="H20" s="32" t="str">
        <f aca="false">IF($I20="","",IF(INDEX(Accounts!$R$12:$R$311,MATCH($I20,Accounts!$T$12:$T$311,0))="Check inputs","Check inputs: "&amp;INDEX(Accounts!$S$12:$S$311,MATCH($I20,Accounts!$T$12:$T$311,0)),INDEX(Accounts!$R$12:$R$311,MATCH($I20,Accounts!$T$12:$T$311,0))))</f>
        <v/>
      </c>
      <c r="I20" s="33" t="str">
        <f aca="false">IF(12&gt;COUNT(Accounts!$T$12:$T$311),"",SMALL(Accounts!$T$12:$T$311,12))</f>
        <v/>
      </c>
    </row>
    <row r="21" customFormat="false" ht="15" hidden="false" customHeight="false" outlineLevel="0" collapsed="false">
      <c r="A21" s="22" t="str">
        <f aca="false">IF($I21="","",INDEX(Accounts!$A$12:$A$311,MATCH($I21,Accounts!$T$12:$T$311,0))&amp;"")</f>
        <v/>
      </c>
      <c r="B21" s="30" t="str">
        <f aca="false">IF($I21="","",IF(INDEX(Accounts!$R$12:$R$311,MATCH($I21,Accounts!$T$12:$T$311,0))="Check inputs","—",INDEX(Accounts!$B$12:$B$311,MATCH($I21,Accounts!$T$12:$T$311,0))))</f>
        <v/>
      </c>
      <c r="C21" s="30" t="str">
        <f aca="false">IF($I21="","",IF(INDEX(Accounts!$R$12:$R$311,MATCH($I21,Accounts!$T$12:$T$311,0))="Check inputs","—",INDEX(Accounts!$M$12:$M$311,MATCH($I21,Accounts!$T$12:$T$311,0))))</f>
        <v/>
      </c>
      <c r="D21" s="30" t="str">
        <f aca="false">IF($I21="","",IF(INDEX(Accounts!$R$12:$R$311,MATCH($I21,Accounts!$T$12:$T$311,0))="Check inputs","—",INDEX(Accounts!$N$12:$N$311,MATCH($I21,Accounts!$T$12:$T$311,0))))</f>
        <v/>
      </c>
      <c r="E21" s="31" t="str">
        <f aca="false">IF($I21="","",IF(INDEX(Accounts!$R$12:$R$311,MATCH($I21,Accounts!$T$12:$T$311,0))="Check inputs","—",INDEX(Accounts!$O$12:$O$311,MATCH($I21,Accounts!$T$12:$T$311,0))))</f>
        <v/>
      </c>
      <c r="F21" s="30" t="str">
        <f aca="false">IF($I21="","",IF(INDEX(Accounts!$R$12:$R$311,MATCH($I21,Accounts!$T$12:$T$311,0))="Check inputs","—",INDEX(Accounts!$P$12:$P$311,MATCH($I21,Accounts!$T$12:$T$311,0))))</f>
        <v/>
      </c>
      <c r="G21" s="30" t="str">
        <f aca="false">IF($I21="","",IF(INDEX(Accounts!$R$12:$R$311,MATCH($I21,Accounts!$T$12:$T$311,0))="Check inputs","—",INDEX(Accounts!$Q$12:$Q$311,MATCH($I21,Accounts!$T$12:$T$311,0))))</f>
        <v/>
      </c>
      <c r="H21" s="32" t="str">
        <f aca="false">IF($I21="","",IF(INDEX(Accounts!$R$12:$R$311,MATCH($I21,Accounts!$T$12:$T$311,0))="Check inputs","Check inputs: "&amp;INDEX(Accounts!$S$12:$S$311,MATCH($I21,Accounts!$T$12:$T$311,0)),INDEX(Accounts!$R$12:$R$311,MATCH($I21,Accounts!$T$12:$T$311,0))))</f>
        <v/>
      </c>
      <c r="I21" s="33" t="str">
        <f aca="false">IF(13&gt;COUNT(Accounts!$T$12:$T$311),"",SMALL(Accounts!$T$12:$T$311,13))</f>
        <v/>
      </c>
    </row>
    <row r="22" customFormat="false" ht="15" hidden="false" customHeight="false" outlineLevel="0" collapsed="false">
      <c r="A22" s="22" t="str">
        <f aca="false">IF($I22="","",INDEX(Accounts!$A$12:$A$311,MATCH($I22,Accounts!$T$12:$T$311,0))&amp;"")</f>
        <v/>
      </c>
      <c r="B22" s="30" t="str">
        <f aca="false">IF($I22="","",IF(INDEX(Accounts!$R$12:$R$311,MATCH($I22,Accounts!$T$12:$T$311,0))="Check inputs","—",INDEX(Accounts!$B$12:$B$311,MATCH($I22,Accounts!$T$12:$T$311,0))))</f>
        <v/>
      </c>
      <c r="C22" s="30" t="str">
        <f aca="false">IF($I22="","",IF(INDEX(Accounts!$R$12:$R$311,MATCH($I22,Accounts!$T$12:$T$311,0))="Check inputs","—",INDEX(Accounts!$M$12:$M$311,MATCH($I22,Accounts!$T$12:$T$311,0))))</f>
        <v/>
      </c>
      <c r="D22" s="30" t="str">
        <f aca="false">IF($I22="","",IF(INDEX(Accounts!$R$12:$R$311,MATCH($I22,Accounts!$T$12:$T$311,0))="Check inputs","—",INDEX(Accounts!$N$12:$N$311,MATCH($I22,Accounts!$T$12:$T$311,0))))</f>
        <v/>
      </c>
      <c r="E22" s="31" t="str">
        <f aca="false">IF($I22="","",IF(INDEX(Accounts!$R$12:$R$311,MATCH($I22,Accounts!$T$12:$T$311,0))="Check inputs","—",INDEX(Accounts!$O$12:$O$311,MATCH($I22,Accounts!$T$12:$T$311,0))))</f>
        <v/>
      </c>
      <c r="F22" s="30" t="str">
        <f aca="false">IF($I22="","",IF(INDEX(Accounts!$R$12:$R$311,MATCH($I22,Accounts!$T$12:$T$311,0))="Check inputs","—",INDEX(Accounts!$P$12:$P$311,MATCH($I22,Accounts!$T$12:$T$311,0))))</f>
        <v/>
      </c>
      <c r="G22" s="30" t="str">
        <f aca="false">IF($I22="","",IF(INDEX(Accounts!$R$12:$R$311,MATCH($I22,Accounts!$T$12:$T$311,0))="Check inputs","—",INDEX(Accounts!$Q$12:$Q$311,MATCH($I22,Accounts!$T$12:$T$311,0))))</f>
        <v/>
      </c>
      <c r="H22" s="32" t="str">
        <f aca="false">IF($I22="","",IF(INDEX(Accounts!$R$12:$R$311,MATCH($I22,Accounts!$T$12:$T$311,0))="Check inputs","Check inputs: "&amp;INDEX(Accounts!$S$12:$S$311,MATCH($I22,Accounts!$T$12:$T$311,0)),INDEX(Accounts!$R$12:$R$311,MATCH($I22,Accounts!$T$12:$T$311,0))))</f>
        <v/>
      </c>
      <c r="I22" s="33" t="str">
        <f aca="false">IF(14&gt;COUNT(Accounts!$T$12:$T$311),"",SMALL(Accounts!$T$12:$T$311,14))</f>
        <v/>
      </c>
    </row>
    <row r="23" customFormat="false" ht="15" hidden="false" customHeight="false" outlineLevel="0" collapsed="false">
      <c r="A23" s="22" t="str">
        <f aca="false">IF($I23="","",INDEX(Accounts!$A$12:$A$311,MATCH($I23,Accounts!$T$12:$T$311,0))&amp;"")</f>
        <v/>
      </c>
      <c r="B23" s="30" t="str">
        <f aca="false">IF($I23="","",IF(INDEX(Accounts!$R$12:$R$311,MATCH($I23,Accounts!$T$12:$T$311,0))="Check inputs","—",INDEX(Accounts!$B$12:$B$311,MATCH($I23,Accounts!$T$12:$T$311,0))))</f>
        <v/>
      </c>
      <c r="C23" s="30" t="str">
        <f aca="false">IF($I23="","",IF(INDEX(Accounts!$R$12:$R$311,MATCH($I23,Accounts!$T$12:$T$311,0))="Check inputs","—",INDEX(Accounts!$M$12:$M$311,MATCH($I23,Accounts!$T$12:$T$311,0))))</f>
        <v/>
      </c>
      <c r="D23" s="30" t="str">
        <f aca="false">IF($I23="","",IF(INDEX(Accounts!$R$12:$R$311,MATCH($I23,Accounts!$T$12:$T$311,0))="Check inputs","—",INDEX(Accounts!$N$12:$N$311,MATCH($I23,Accounts!$T$12:$T$311,0))))</f>
        <v/>
      </c>
      <c r="E23" s="31" t="str">
        <f aca="false">IF($I23="","",IF(INDEX(Accounts!$R$12:$R$311,MATCH($I23,Accounts!$T$12:$T$311,0))="Check inputs","—",INDEX(Accounts!$O$12:$O$311,MATCH($I23,Accounts!$T$12:$T$311,0))))</f>
        <v/>
      </c>
      <c r="F23" s="30" t="str">
        <f aca="false">IF($I23="","",IF(INDEX(Accounts!$R$12:$R$311,MATCH($I23,Accounts!$T$12:$T$311,0))="Check inputs","—",INDEX(Accounts!$P$12:$P$311,MATCH($I23,Accounts!$T$12:$T$311,0))))</f>
        <v/>
      </c>
      <c r="G23" s="30" t="str">
        <f aca="false">IF($I23="","",IF(INDEX(Accounts!$R$12:$R$311,MATCH($I23,Accounts!$T$12:$T$311,0))="Check inputs","—",INDEX(Accounts!$Q$12:$Q$311,MATCH($I23,Accounts!$T$12:$T$311,0))))</f>
        <v/>
      </c>
      <c r="H23" s="32" t="str">
        <f aca="false">IF($I23="","",IF(INDEX(Accounts!$R$12:$R$311,MATCH($I23,Accounts!$T$12:$T$311,0))="Check inputs","Check inputs: "&amp;INDEX(Accounts!$S$12:$S$311,MATCH($I23,Accounts!$T$12:$T$311,0)),INDEX(Accounts!$R$12:$R$311,MATCH($I23,Accounts!$T$12:$T$311,0))))</f>
        <v/>
      </c>
      <c r="I23" s="33" t="str">
        <f aca="false">IF(15&gt;COUNT(Accounts!$T$12:$T$311),"",SMALL(Accounts!$T$12:$T$311,15))</f>
        <v/>
      </c>
    </row>
    <row r="24" customFormat="false" ht="15" hidden="false" customHeight="false" outlineLevel="0" collapsed="false">
      <c r="A24" s="22" t="str">
        <f aca="false">IF($I24="","",INDEX(Accounts!$A$12:$A$311,MATCH($I24,Accounts!$T$12:$T$311,0))&amp;"")</f>
        <v/>
      </c>
      <c r="B24" s="30" t="str">
        <f aca="false">IF($I24="","",IF(INDEX(Accounts!$R$12:$R$311,MATCH($I24,Accounts!$T$12:$T$311,0))="Check inputs","—",INDEX(Accounts!$B$12:$B$311,MATCH($I24,Accounts!$T$12:$T$311,0))))</f>
        <v/>
      </c>
      <c r="C24" s="30" t="str">
        <f aca="false">IF($I24="","",IF(INDEX(Accounts!$R$12:$R$311,MATCH($I24,Accounts!$T$12:$T$311,0))="Check inputs","—",INDEX(Accounts!$M$12:$M$311,MATCH($I24,Accounts!$T$12:$T$311,0))))</f>
        <v/>
      </c>
      <c r="D24" s="30" t="str">
        <f aca="false">IF($I24="","",IF(INDEX(Accounts!$R$12:$R$311,MATCH($I24,Accounts!$T$12:$T$311,0))="Check inputs","—",INDEX(Accounts!$N$12:$N$311,MATCH($I24,Accounts!$T$12:$T$311,0))))</f>
        <v/>
      </c>
      <c r="E24" s="31" t="str">
        <f aca="false">IF($I24="","",IF(INDEX(Accounts!$R$12:$R$311,MATCH($I24,Accounts!$T$12:$T$311,0))="Check inputs","—",INDEX(Accounts!$O$12:$O$311,MATCH($I24,Accounts!$T$12:$T$311,0))))</f>
        <v/>
      </c>
      <c r="F24" s="30" t="str">
        <f aca="false">IF($I24="","",IF(INDEX(Accounts!$R$12:$R$311,MATCH($I24,Accounts!$T$12:$T$311,0))="Check inputs","—",INDEX(Accounts!$P$12:$P$311,MATCH($I24,Accounts!$T$12:$T$311,0))))</f>
        <v/>
      </c>
      <c r="G24" s="30" t="str">
        <f aca="false">IF($I24="","",IF(INDEX(Accounts!$R$12:$R$311,MATCH($I24,Accounts!$T$12:$T$311,0))="Check inputs","—",INDEX(Accounts!$Q$12:$Q$311,MATCH($I24,Accounts!$T$12:$T$311,0))))</f>
        <v/>
      </c>
      <c r="H24" s="32" t="str">
        <f aca="false">IF($I24="","",IF(INDEX(Accounts!$R$12:$R$311,MATCH($I24,Accounts!$T$12:$T$311,0))="Check inputs","Check inputs: "&amp;INDEX(Accounts!$S$12:$S$311,MATCH($I24,Accounts!$T$12:$T$311,0)),INDEX(Accounts!$R$12:$R$311,MATCH($I24,Accounts!$T$12:$T$311,0))))</f>
        <v/>
      </c>
      <c r="I24" s="33" t="str">
        <f aca="false">IF(16&gt;COUNT(Accounts!$T$12:$T$311),"",SMALL(Accounts!$T$12:$T$311,16))</f>
        <v/>
      </c>
    </row>
    <row r="25" customFormat="false" ht="15" hidden="false" customHeight="false" outlineLevel="0" collapsed="false">
      <c r="A25" s="22" t="str">
        <f aca="false">IF($I25="","",INDEX(Accounts!$A$12:$A$311,MATCH($I25,Accounts!$T$12:$T$311,0))&amp;"")</f>
        <v/>
      </c>
      <c r="B25" s="30" t="str">
        <f aca="false">IF($I25="","",IF(INDEX(Accounts!$R$12:$R$311,MATCH($I25,Accounts!$T$12:$T$311,0))="Check inputs","—",INDEX(Accounts!$B$12:$B$311,MATCH($I25,Accounts!$T$12:$T$311,0))))</f>
        <v/>
      </c>
      <c r="C25" s="30" t="str">
        <f aca="false">IF($I25="","",IF(INDEX(Accounts!$R$12:$R$311,MATCH($I25,Accounts!$T$12:$T$311,0))="Check inputs","—",INDEX(Accounts!$M$12:$M$311,MATCH($I25,Accounts!$T$12:$T$311,0))))</f>
        <v/>
      </c>
      <c r="D25" s="30" t="str">
        <f aca="false">IF($I25="","",IF(INDEX(Accounts!$R$12:$R$311,MATCH($I25,Accounts!$T$12:$T$311,0))="Check inputs","—",INDEX(Accounts!$N$12:$N$311,MATCH($I25,Accounts!$T$12:$T$311,0))))</f>
        <v/>
      </c>
      <c r="E25" s="31" t="str">
        <f aca="false">IF($I25="","",IF(INDEX(Accounts!$R$12:$R$311,MATCH($I25,Accounts!$T$12:$T$311,0))="Check inputs","—",INDEX(Accounts!$O$12:$O$311,MATCH($I25,Accounts!$T$12:$T$311,0))))</f>
        <v/>
      </c>
      <c r="F25" s="30" t="str">
        <f aca="false">IF($I25="","",IF(INDEX(Accounts!$R$12:$R$311,MATCH($I25,Accounts!$T$12:$T$311,0))="Check inputs","—",INDEX(Accounts!$P$12:$P$311,MATCH($I25,Accounts!$T$12:$T$311,0))))</f>
        <v/>
      </c>
      <c r="G25" s="30" t="str">
        <f aca="false">IF($I25="","",IF(INDEX(Accounts!$R$12:$R$311,MATCH($I25,Accounts!$T$12:$T$311,0))="Check inputs","—",INDEX(Accounts!$Q$12:$Q$311,MATCH($I25,Accounts!$T$12:$T$311,0))))</f>
        <v/>
      </c>
      <c r="H25" s="32" t="str">
        <f aca="false">IF($I25="","",IF(INDEX(Accounts!$R$12:$R$311,MATCH($I25,Accounts!$T$12:$T$311,0))="Check inputs","Check inputs: "&amp;INDEX(Accounts!$S$12:$S$311,MATCH($I25,Accounts!$T$12:$T$311,0)),INDEX(Accounts!$R$12:$R$311,MATCH($I25,Accounts!$T$12:$T$311,0))))</f>
        <v/>
      </c>
      <c r="I25" s="33" t="str">
        <f aca="false">IF(17&gt;COUNT(Accounts!$T$12:$T$311),"",SMALL(Accounts!$T$12:$T$311,17))</f>
        <v/>
      </c>
    </row>
    <row r="26" customFormat="false" ht="15" hidden="false" customHeight="false" outlineLevel="0" collapsed="false">
      <c r="A26" s="22" t="str">
        <f aca="false">IF($I26="","",INDEX(Accounts!$A$12:$A$311,MATCH($I26,Accounts!$T$12:$T$311,0))&amp;"")</f>
        <v/>
      </c>
      <c r="B26" s="30" t="str">
        <f aca="false">IF($I26="","",IF(INDEX(Accounts!$R$12:$R$311,MATCH($I26,Accounts!$T$12:$T$311,0))="Check inputs","—",INDEX(Accounts!$B$12:$B$311,MATCH($I26,Accounts!$T$12:$T$311,0))))</f>
        <v/>
      </c>
      <c r="C26" s="30" t="str">
        <f aca="false">IF($I26="","",IF(INDEX(Accounts!$R$12:$R$311,MATCH($I26,Accounts!$T$12:$T$311,0))="Check inputs","—",INDEX(Accounts!$M$12:$M$311,MATCH($I26,Accounts!$T$12:$T$311,0))))</f>
        <v/>
      </c>
      <c r="D26" s="30" t="str">
        <f aca="false">IF($I26="","",IF(INDEX(Accounts!$R$12:$R$311,MATCH($I26,Accounts!$T$12:$T$311,0))="Check inputs","—",INDEX(Accounts!$N$12:$N$311,MATCH($I26,Accounts!$T$12:$T$311,0))))</f>
        <v/>
      </c>
      <c r="E26" s="31" t="str">
        <f aca="false">IF($I26="","",IF(INDEX(Accounts!$R$12:$R$311,MATCH($I26,Accounts!$T$12:$T$311,0))="Check inputs","—",INDEX(Accounts!$O$12:$O$311,MATCH($I26,Accounts!$T$12:$T$311,0))))</f>
        <v/>
      </c>
      <c r="F26" s="30" t="str">
        <f aca="false">IF($I26="","",IF(INDEX(Accounts!$R$12:$R$311,MATCH($I26,Accounts!$T$12:$T$311,0))="Check inputs","—",INDEX(Accounts!$P$12:$P$311,MATCH($I26,Accounts!$T$12:$T$311,0))))</f>
        <v/>
      </c>
      <c r="G26" s="30" t="str">
        <f aca="false">IF($I26="","",IF(INDEX(Accounts!$R$12:$R$311,MATCH($I26,Accounts!$T$12:$T$311,0))="Check inputs","—",INDEX(Accounts!$Q$12:$Q$311,MATCH($I26,Accounts!$T$12:$T$311,0))))</f>
        <v/>
      </c>
      <c r="H26" s="32" t="str">
        <f aca="false">IF($I26="","",IF(INDEX(Accounts!$R$12:$R$311,MATCH($I26,Accounts!$T$12:$T$311,0))="Check inputs","Check inputs: "&amp;INDEX(Accounts!$S$12:$S$311,MATCH($I26,Accounts!$T$12:$T$311,0)),INDEX(Accounts!$R$12:$R$311,MATCH($I26,Accounts!$T$12:$T$311,0))))</f>
        <v/>
      </c>
      <c r="I26" s="33" t="str">
        <f aca="false">IF(18&gt;COUNT(Accounts!$T$12:$T$311),"",SMALL(Accounts!$T$12:$T$311,18))</f>
        <v/>
      </c>
    </row>
    <row r="27" customFormat="false" ht="15" hidden="false" customHeight="false" outlineLevel="0" collapsed="false">
      <c r="A27" s="22" t="str">
        <f aca="false">IF($I27="","",INDEX(Accounts!$A$12:$A$311,MATCH($I27,Accounts!$T$12:$T$311,0))&amp;"")</f>
        <v/>
      </c>
      <c r="B27" s="30" t="str">
        <f aca="false">IF($I27="","",IF(INDEX(Accounts!$R$12:$R$311,MATCH($I27,Accounts!$T$12:$T$311,0))="Check inputs","—",INDEX(Accounts!$B$12:$B$311,MATCH($I27,Accounts!$T$12:$T$311,0))))</f>
        <v/>
      </c>
      <c r="C27" s="30" t="str">
        <f aca="false">IF($I27="","",IF(INDEX(Accounts!$R$12:$R$311,MATCH($I27,Accounts!$T$12:$T$311,0))="Check inputs","—",INDEX(Accounts!$M$12:$M$311,MATCH($I27,Accounts!$T$12:$T$311,0))))</f>
        <v/>
      </c>
      <c r="D27" s="30" t="str">
        <f aca="false">IF($I27="","",IF(INDEX(Accounts!$R$12:$R$311,MATCH($I27,Accounts!$T$12:$T$311,0))="Check inputs","—",INDEX(Accounts!$N$12:$N$311,MATCH($I27,Accounts!$T$12:$T$311,0))))</f>
        <v/>
      </c>
      <c r="E27" s="31" t="str">
        <f aca="false">IF($I27="","",IF(INDEX(Accounts!$R$12:$R$311,MATCH($I27,Accounts!$T$12:$T$311,0))="Check inputs","—",INDEX(Accounts!$O$12:$O$311,MATCH($I27,Accounts!$T$12:$T$311,0))))</f>
        <v/>
      </c>
      <c r="F27" s="30" t="str">
        <f aca="false">IF($I27="","",IF(INDEX(Accounts!$R$12:$R$311,MATCH($I27,Accounts!$T$12:$T$311,0))="Check inputs","—",INDEX(Accounts!$P$12:$P$311,MATCH($I27,Accounts!$T$12:$T$311,0))))</f>
        <v/>
      </c>
      <c r="G27" s="30" t="str">
        <f aca="false">IF($I27="","",IF(INDEX(Accounts!$R$12:$R$311,MATCH($I27,Accounts!$T$12:$T$311,0))="Check inputs","—",INDEX(Accounts!$Q$12:$Q$311,MATCH($I27,Accounts!$T$12:$T$311,0))))</f>
        <v/>
      </c>
      <c r="H27" s="32" t="str">
        <f aca="false">IF($I27="","",IF(INDEX(Accounts!$R$12:$R$311,MATCH($I27,Accounts!$T$12:$T$311,0))="Check inputs","Check inputs: "&amp;INDEX(Accounts!$S$12:$S$311,MATCH($I27,Accounts!$T$12:$T$311,0)),INDEX(Accounts!$R$12:$R$311,MATCH($I27,Accounts!$T$12:$T$311,0))))</f>
        <v/>
      </c>
      <c r="I27" s="33" t="str">
        <f aca="false">IF(19&gt;COUNT(Accounts!$T$12:$T$311),"",SMALL(Accounts!$T$12:$T$311,19))</f>
        <v/>
      </c>
    </row>
    <row r="28" customFormat="false" ht="15" hidden="false" customHeight="false" outlineLevel="0" collapsed="false">
      <c r="A28" s="22" t="str">
        <f aca="false">IF($I28="","",INDEX(Accounts!$A$12:$A$311,MATCH($I28,Accounts!$T$12:$T$311,0))&amp;"")</f>
        <v/>
      </c>
      <c r="B28" s="30" t="str">
        <f aca="false">IF($I28="","",IF(INDEX(Accounts!$R$12:$R$311,MATCH($I28,Accounts!$T$12:$T$311,0))="Check inputs","—",INDEX(Accounts!$B$12:$B$311,MATCH($I28,Accounts!$T$12:$T$311,0))))</f>
        <v/>
      </c>
      <c r="C28" s="30" t="str">
        <f aca="false">IF($I28="","",IF(INDEX(Accounts!$R$12:$R$311,MATCH($I28,Accounts!$T$12:$T$311,0))="Check inputs","—",INDEX(Accounts!$M$12:$M$311,MATCH($I28,Accounts!$T$12:$T$311,0))))</f>
        <v/>
      </c>
      <c r="D28" s="30" t="str">
        <f aca="false">IF($I28="","",IF(INDEX(Accounts!$R$12:$R$311,MATCH($I28,Accounts!$T$12:$T$311,0))="Check inputs","—",INDEX(Accounts!$N$12:$N$311,MATCH($I28,Accounts!$T$12:$T$311,0))))</f>
        <v/>
      </c>
      <c r="E28" s="31" t="str">
        <f aca="false">IF($I28="","",IF(INDEX(Accounts!$R$12:$R$311,MATCH($I28,Accounts!$T$12:$T$311,0))="Check inputs","—",INDEX(Accounts!$O$12:$O$311,MATCH($I28,Accounts!$T$12:$T$311,0))))</f>
        <v/>
      </c>
      <c r="F28" s="30" t="str">
        <f aca="false">IF($I28="","",IF(INDEX(Accounts!$R$12:$R$311,MATCH($I28,Accounts!$T$12:$T$311,0))="Check inputs","—",INDEX(Accounts!$P$12:$P$311,MATCH($I28,Accounts!$T$12:$T$311,0))))</f>
        <v/>
      </c>
      <c r="G28" s="30" t="str">
        <f aca="false">IF($I28="","",IF(INDEX(Accounts!$R$12:$R$311,MATCH($I28,Accounts!$T$12:$T$311,0))="Check inputs","—",INDEX(Accounts!$Q$12:$Q$311,MATCH($I28,Accounts!$T$12:$T$311,0))))</f>
        <v/>
      </c>
      <c r="H28" s="32" t="str">
        <f aca="false">IF($I28="","",IF(INDEX(Accounts!$R$12:$R$311,MATCH($I28,Accounts!$T$12:$T$311,0))="Check inputs","Check inputs: "&amp;INDEX(Accounts!$S$12:$S$311,MATCH($I28,Accounts!$T$12:$T$311,0)),INDEX(Accounts!$R$12:$R$311,MATCH($I28,Accounts!$T$12:$T$311,0))))</f>
        <v/>
      </c>
      <c r="I28" s="33" t="str">
        <f aca="false">IF(20&gt;COUNT(Accounts!$T$12:$T$311),"",SMALL(Accounts!$T$12:$T$311,20))</f>
        <v/>
      </c>
    </row>
    <row r="29" customFormat="false" ht="15" hidden="false" customHeight="false" outlineLevel="0" collapsed="false">
      <c r="A29" s="22" t="str">
        <f aca="false">IF($I29="","",INDEX(Accounts!$A$12:$A$311,MATCH($I29,Accounts!$T$12:$T$311,0))&amp;"")</f>
        <v/>
      </c>
      <c r="B29" s="30" t="str">
        <f aca="false">IF($I29="","",IF(INDEX(Accounts!$R$12:$R$311,MATCH($I29,Accounts!$T$12:$T$311,0))="Check inputs","—",INDEX(Accounts!$B$12:$B$311,MATCH($I29,Accounts!$T$12:$T$311,0))))</f>
        <v/>
      </c>
      <c r="C29" s="30" t="str">
        <f aca="false">IF($I29="","",IF(INDEX(Accounts!$R$12:$R$311,MATCH($I29,Accounts!$T$12:$T$311,0))="Check inputs","—",INDEX(Accounts!$M$12:$M$311,MATCH($I29,Accounts!$T$12:$T$311,0))))</f>
        <v/>
      </c>
      <c r="D29" s="30" t="str">
        <f aca="false">IF($I29="","",IF(INDEX(Accounts!$R$12:$R$311,MATCH($I29,Accounts!$T$12:$T$311,0))="Check inputs","—",INDEX(Accounts!$N$12:$N$311,MATCH($I29,Accounts!$T$12:$T$311,0))))</f>
        <v/>
      </c>
      <c r="E29" s="31" t="str">
        <f aca="false">IF($I29="","",IF(INDEX(Accounts!$R$12:$R$311,MATCH($I29,Accounts!$T$12:$T$311,0))="Check inputs","—",INDEX(Accounts!$O$12:$O$311,MATCH($I29,Accounts!$T$12:$T$311,0))))</f>
        <v/>
      </c>
      <c r="F29" s="30" t="str">
        <f aca="false">IF($I29="","",IF(INDEX(Accounts!$R$12:$R$311,MATCH($I29,Accounts!$T$12:$T$311,0))="Check inputs","—",INDEX(Accounts!$P$12:$P$311,MATCH($I29,Accounts!$T$12:$T$311,0))))</f>
        <v/>
      </c>
      <c r="G29" s="30" t="str">
        <f aca="false">IF($I29="","",IF(INDEX(Accounts!$R$12:$R$311,MATCH($I29,Accounts!$T$12:$T$311,0))="Check inputs","—",INDEX(Accounts!$Q$12:$Q$311,MATCH($I29,Accounts!$T$12:$T$311,0))))</f>
        <v/>
      </c>
      <c r="H29" s="32" t="str">
        <f aca="false">IF($I29="","",IF(INDEX(Accounts!$R$12:$R$311,MATCH($I29,Accounts!$T$12:$T$311,0))="Check inputs","Check inputs: "&amp;INDEX(Accounts!$S$12:$S$311,MATCH($I29,Accounts!$T$12:$T$311,0)),INDEX(Accounts!$R$12:$R$311,MATCH($I29,Accounts!$T$12:$T$311,0))))</f>
        <v/>
      </c>
      <c r="I29" s="33" t="str">
        <f aca="false">IF(21&gt;COUNT(Accounts!$T$12:$T$311),"",SMALL(Accounts!$T$12:$T$311,21))</f>
        <v/>
      </c>
    </row>
    <row r="30" customFormat="false" ht="15" hidden="false" customHeight="false" outlineLevel="0" collapsed="false">
      <c r="A30" s="22" t="str">
        <f aca="false">IF($I30="","",INDEX(Accounts!$A$12:$A$311,MATCH($I30,Accounts!$T$12:$T$311,0))&amp;"")</f>
        <v/>
      </c>
      <c r="B30" s="30" t="str">
        <f aca="false">IF($I30="","",IF(INDEX(Accounts!$R$12:$R$311,MATCH($I30,Accounts!$T$12:$T$311,0))="Check inputs","—",INDEX(Accounts!$B$12:$B$311,MATCH($I30,Accounts!$T$12:$T$311,0))))</f>
        <v/>
      </c>
      <c r="C30" s="30" t="str">
        <f aca="false">IF($I30="","",IF(INDEX(Accounts!$R$12:$R$311,MATCH($I30,Accounts!$T$12:$T$311,0))="Check inputs","—",INDEX(Accounts!$M$12:$M$311,MATCH($I30,Accounts!$T$12:$T$311,0))))</f>
        <v/>
      </c>
      <c r="D30" s="30" t="str">
        <f aca="false">IF($I30="","",IF(INDEX(Accounts!$R$12:$R$311,MATCH($I30,Accounts!$T$12:$T$311,0))="Check inputs","—",INDEX(Accounts!$N$12:$N$311,MATCH($I30,Accounts!$T$12:$T$311,0))))</f>
        <v/>
      </c>
      <c r="E30" s="31" t="str">
        <f aca="false">IF($I30="","",IF(INDEX(Accounts!$R$12:$R$311,MATCH($I30,Accounts!$T$12:$T$311,0))="Check inputs","—",INDEX(Accounts!$O$12:$O$311,MATCH($I30,Accounts!$T$12:$T$311,0))))</f>
        <v/>
      </c>
      <c r="F30" s="30" t="str">
        <f aca="false">IF($I30="","",IF(INDEX(Accounts!$R$12:$R$311,MATCH($I30,Accounts!$T$12:$T$311,0))="Check inputs","—",INDEX(Accounts!$P$12:$P$311,MATCH($I30,Accounts!$T$12:$T$311,0))))</f>
        <v/>
      </c>
      <c r="G30" s="30" t="str">
        <f aca="false">IF($I30="","",IF(INDEX(Accounts!$R$12:$R$311,MATCH($I30,Accounts!$T$12:$T$311,0))="Check inputs","—",INDEX(Accounts!$Q$12:$Q$311,MATCH($I30,Accounts!$T$12:$T$311,0))))</f>
        <v/>
      </c>
      <c r="H30" s="32" t="str">
        <f aca="false">IF($I30="","",IF(INDEX(Accounts!$R$12:$R$311,MATCH($I30,Accounts!$T$12:$T$311,0))="Check inputs","Check inputs: "&amp;INDEX(Accounts!$S$12:$S$311,MATCH($I30,Accounts!$T$12:$T$311,0)),INDEX(Accounts!$R$12:$R$311,MATCH($I30,Accounts!$T$12:$T$311,0))))</f>
        <v/>
      </c>
      <c r="I30" s="33" t="str">
        <f aca="false">IF(22&gt;COUNT(Accounts!$T$12:$T$311),"",SMALL(Accounts!$T$12:$T$311,22))</f>
        <v/>
      </c>
    </row>
    <row r="31" customFormat="false" ht="15" hidden="false" customHeight="false" outlineLevel="0" collapsed="false">
      <c r="A31" s="22" t="str">
        <f aca="false">IF($I31="","",INDEX(Accounts!$A$12:$A$311,MATCH($I31,Accounts!$T$12:$T$311,0))&amp;"")</f>
        <v/>
      </c>
      <c r="B31" s="30" t="str">
        <f aca="false">IF($I31="","",IF(INDEX(Accounts!$R$12:$R$311,MATCH($I31,Accounts!$T$12:$T$311,0))="Check inputs","—",INDEX(Accounts!$B$12:$B$311,MATCH($I31,Accounts!$T$12:$T$311,0))))</f>
        <v/>
      </c>
      <c r="C31" s="30" t="str">
        <f aca="false">IF($I31="","",IF(INDEX(Accounts!$R$12:$R$311,MATCH($I31,Accounts!$T$12:$T$311,0))="Check inputs","—",INDEX(Accounts!$M$12:$M$311,MATCH($I31,Accounts!$T$12:$T$311,0))))</f>
        <v/>
      </c>
      <c r="D31" s="30" t="str">
        <f aca="false">IF($I31="","",IF(INDEX(Accounts!$R$12:$R$311,MATCH($I31,Accounts!$T$12:$T$311,0))="Check inputs","—",INDEX(Accounts!$N$12:$N$311,MATCH($I31,Accounts!$T$12:$T$311,0))))</f>
        <v/>
      </c>
      <c r="E31" s="31" t="str">
        <f aca="false">IF($I31="","",IF(INDEX(Accounts!$R$12:$R$311,MATCH($I31,Accounts!$T$12:$T$311,0))="Check inputs","—",INDEX(Accounts!$O$12:$O$311,MATCH($I31,Accounts!$T$12:$T$311,0))))</f>
        <v/>
      </c>
      <c r="F31" s="30" t="str">
        <f aca="false">IF($I31="","",IF(INDEX(Accounts!$R$12:$R$311,MATCH($I31,Accounts!$T$12:$T$311,0))="Check inputs","—",INDEX(Accounts!$P$12:$P$311,MATCH($I31,Accounts!$T$12:$T$311,0))))</f>
        <v/>
      </c>
      <c r="G31" s="30" t="str">
        <f aca="false">IF($I31="","",IF(INDEX(Accounts!$R$12:$R$311,MATCH($I31,Accounts!$T$12:$T$311,0))="Check inputs","—",INDEX(Accounts!$Q$12:$Q$311,MATCH($I31,Accounts!$T$12:$T$311,0))))</f>
        <v/>
      </c>
      <c r="H31" s="32" t="str">
        <f aca="false">IF($I31="","",IF(INDEX(Accounts!$R$12:$R$311,MATCH($I31,Accounts!$T$12:$T$311,0))="Check inputs","Check inputs: "&amp;INDEX(Accounts!$S$12:$S$311,MATCH($I31,Accounts!$T$12:$T$311,0)),INDEX(Accounts!$R$12:$R$311,MATCH($I31,Accounts!$T$12:$T$311,0))))</f>
        <v/>
      </c>
      <c r="I31" s="33" t="str">
        <f aca="false">IF(23&gt;COUNT(Accounts!$T$12:$T$311),"",SMALL(Accounts!$T$12:$T$311,23))</f>
        <v/>
      </c>
    </row>
    <row r="32" customFormat="false" ht="15" hidden="false" customHeight="false" outlineLevel="0" collapsed="false">
      <c r="A32" s="22" t="str">
        <f aca="false">IF($I32="","",INDEX(Accounts!$A$12:$A$311,MATCH($I32,Accounts!$T$12:$T$311,0))&amp;"")</f>
        <v/>
      </c>
      <c r="B32" s="30" t="str">
        <f aca="false">IF($I32="","",IF(INDEX(Accounts!$R$12:$R$311,MATCH($I32,Accounts!$T$12:$T$311,0))="Check inputs","—",INDEX(Accounts!$B$12:$B$311,MATCH($I32,Accounts!$T$12:$T$311,0))))</f>
        <v/>
      </c>
      <c r="C32" s="30" t="str">
        <f aca="false">IF($I32="","",IF(INDEX(Accounts!$R$12:$R$311,MATCH($I32,Accounts!$T$12:$T$311,0))="Check inputs","—",INDEX(Accounts!$M$12:$M$311,MATCH($I32,Accounts!$T$12:$T$311,0))))</f>
        <v/>
      </c>
      <c r="D32" s="30" t="str">
        <f aca="false">IF($I32="","",IF(INDEX(Accounts!$R$12:$R$311,MATCH($I32,Accounts!$T$12:$T$311,0))="Check inputs","—",INDEX(Accounts!$N$12:$N$311,MATCH($I32,Accounts!$T$12:$T$311,0))))</f>
        <v/>
      </c>
      <c r="E32" s="31" t="str">
        <f aca="false">IF($I32="","",IF(INDEX(Accounts!$R$12:$R$311,MATCH($I32,Accounts!$T$12:$T$311,0))="Check inputs","—",INDEX(Accounts!$O$12:$O$311,MATCH($I32,Accounts!$T$12:$T$311,0))))</f>
        <v/>
      </c>
      <c r="F32" s="30" t="str">
        <f aca="false">IF($I32="","",IF(INDEX(Accounts!$R$12:$R$311,MATCH($I32,Accounts!$T$12:$T$311,0))="Check inputs","—",INDEX(Accounts!$P$12:$P$311,MATCH($I32,Accounts!$T$12:$T$311,0))))</f>
        <v/>
      </c>
      <c r="G32" s="30" t="str">
        <f aca="false">IF($I32="","",IF(INDEX(Accounts!$R$12:$R$311,MATCH($I32,Accounts!$T$12:$T$311,0))="Check inputs","—",INDEX(Accounts!$Q$12:$Q$311,MATCH($I32,Accounts!$T$12:$T$311,0))))</f>
        <v/>
      </c>
      <c r="H32" s="32" t="str">
        <f aca="false">IF($I32="","",IF(INDEX(Accounts!$R$12:$R$311,MATCH($I32,Accounts!$T$12:$T$311,0))="Check inputs","Check inputs: "&amp;INDEX(Accounts!$S$12:$S$311,MATCH($I32,Accounts!$T$12:$T$311,0)),INDEX(Accounts!$R$12:$R$311,MATCH($I32,Accounts!$T$12:$T$311,0))))</f>
        <v/>
      </c>
      <c r="I32" s="33" t="str">
        <f aca="false">IF(24&gt;COUNT(Accounts!$T$12:$T$311),"",SMALL(Accounts!$T$12:$T$311,24))</f>
        <v/>
      </c>
    </row>
    <row r="33" customFormat="false" ht="15" hidden="false" customHeight="false" outlineLevel="0" collapsed="false">
      <c r="A33" s="22" t="str">
        <f aca="false">IF($I33="","",INDEX(Accounts!$A$12:$A$311,MATCH($I33,Accounts!$T$12:$T$311,0))&amp;"")</f>
        <v/>
      </c>
      <c r="B33" s="30" t="str">
        <f aca="false">IF($I33="","",IF(INDEX(Accounts!$R$12:$R$311,MATCH($I33,Accounts!$T$12:$T$311,0))="Check inputs","—",INDEX(Accounts!$B$12:$B$311,MATCH($I33,Accounts!$T$12:$T$311,0))))</f>
        <v/>
      </c>
      <c r="C33" s="30" t="str">
        <f aca="false">IF($I33="","",IF(INDEX(Accounts!$R$12:$R$311,MATCH($I33,Accounts!$T$12:$T$311,0))="Check inputs","—",INDEX(Accounts!$M$12:$M$311,MATCH($I33,Accounts!$T$12:$T$311,0))))</f>
        <v/>
      </c>
      <c r="D33" s="30" t="str">
        <f aca="false">IF($I33="","",IF(INDEX(Accounts!$R$12:$R$311,MATCH($I33,Accounts!$T$12:$T$311,0))="Check inputs","—",INDEX(Accounts!$N$12:$N$311,MATCH($I33,Accounts!$T$12:$T$311,0))))</f>
        <v/>
      </c>
      <c r="E33" s="31" t="str">
        <f aca="false">IF($I33="","",IF(INDEX(Accounts!$R$12:$R$311,MATCH($I33,Accounts!$T$12:$T$311,0))="Check inputs","—",INDEX(Accounts!$O$12:$O$311,MATCH($I33,Accounts!$T$12:$T$311,0))))</f>
        <v/>
      </c>
      <c r="F33" s="30" t="str">
        <f aca="false">IF($I33="","",IF(INDEX(Accounts!$R$12:$R$311,MATCH($I33,Accounts!$T$12:$T$311,0))="Check inputs","—",INDEX(Accounts!$P$12:$P$311,MATCH($I33,Accounts!$T$12:$T$311,0))))</f>
        <v/>
      </c>
      <c r="G33" s="30" t="str">
        <f aca="false">IF($I33="","",IF(INDEX(Accounts!$R$12:$R$311,MATCH($I33,Accounts!$T$12:$T$311,0))="Check inputs","—",INDEX(Accounts!$Q$12:$Q$311,MATCH($I33,Accounts!$T$12:$T$311,0))))</f>
        <v/>
      </c>
      <c r="H33" s="32" t="str">
        <f aca="false">IF($I33="","",IF(INDEX(Accounts!$R$12:$R$311,MATCH($I33,Accounts!$T$12:$T$311,0))="Check inputs","Check inputs: "&amp;INDEX(Accounts!$S$12:$S$311,MATCH($I33,Accounts!$T$12:$T$311,0)),INDEX(Accounts!$R$12:$R$311,MATCH($I33,Accounts!$T$12:$T$311,0))))</f>
        <v/>
      </c>
      <c r="I33" s="33" t="str">
        <f aca="false">IF(25&gt;COUNT(Accounts!$T$12:$T$311),"",SMALL(Accounts!$T$12:$T$311,25))</f>
        <v/>
      </c>
    </row>
    <row r="34" customFormat="false" ht="15" hidden="false" customHeight="false" outlineLevel="0" collapsed="false">
      <c r="A34" s="22" t="str">
        <f aca="false">IF($I34="","",INDEX(Accounts!$A$12:$A$311,MATCH($I34,Accounts!$T$12:$T$311,0))&amp;"")</f>
        <v/>
      </c>
      <c r="B34" s="30" t="str">
        <f aca="false">IF($I34="","",IF(INDEX(Accounts!$R$12:$R$311,MATCH($I34,Accounts!$T$12:$T$311,0))="Check inputs","—",INDEX(Accounts!$B$12:$B$311,MATCH($I34,Accounts!$T$12:$T$311,0))))</f>
        <v/>
      </c>
      <c r="C34" s="30" t="str">
        <f aca="false">IF($I34="","",IF(INDEX(Accounts!$R$12:$R$311,MATCH($I34,Accounts!$T$12:$T$311,0))="Check inputs","—",INDEX(Accounts!$M$12:$M$311,MATCH($I34,Accounts!$T$12:$T$311,0))))</f>
        <v/>
      </c>
      <c r="D34" s="30" t="str">
        <f aca="false">IF($I34="","",IF(INDEX(Accounts!$R$12:$R$311,MATCH($I34,Accounts!$T$12:$T$311,0))="Check inputs","—",INDEX(Accounts!$N$12:$N$311,MATCH($I34,Accounts!$T$12:$T$311,0))))</f>
        <v/>
      </c>
      <c r="E34" s="31" t="str">
        <f aca="false">IF($I34="","",IF(INDEX(Accounts!$R$12:$R$311,MATCH($I34,Accounts!$T$12:$T$311,0))="Check inputs","—",INDEX(Accounts!$O$12:$O$311,MATCH($I34,Accounts!$T$12:$T$311,0))))</f>
        <v/>
      </c>
      <c r="F34" s="30" t="str">
        <f aca="false">IF($I34="","",IF(INDEX(Accounts!$R$12:$R$311,MATCH($I34,Accounts!$T$12:$T$311,0))="Check inputs","—",INDEX(Accounts!$P$12:$P$311,MATCH($I34,Accounts!$T$12:$T$311,0))))</f>
        <v/>
      </c>
      <c r="G34" s="30" t="str">
        <f aca="false">IF($I34="","",IF(INDEX(Accounts!$R$12:$R$311,MATCH($I34,Accounts!$T$12:$T$311,0))="Check inputs","—",INDEX(Accounts!$Q$12:$Q$311,MATCH($I34,Accounts!$T$12:$T$311,0))))</f>
        <v/>
      </c>
      <c r="H34" s="32" t="str">
        <f aca="false">IF($I34="","",IF(INDEX(Accounts!$R$12:$R$311,MATCH($I34,Accounts!$T$12:$T$311,0))="Check inputs","Check inputs: "&amp;INDEX(Accounts!$S$12:$S$311,MATCH($I34,Accounts!$T$12:$T$311,0)),INDEX(Accounts!$R$12:$R$311,MATCH($I34,Accounts!$T$12:$T$311,0))))</f>
        <v/>
      </c>
      <c r="I34" s="33" t="str">
        <f aca="false">IF(26&gt;COUNT(Accounts!$T$12:$T$311),"",SMALL(Accounts!$T$12:$T$311,26))</f>
        <v/>
      </c>
    </row>
    <row r="35" customFormat="false" ht="15" hidden="false" customHeight="false" outlineLevel="0" collapsed="false">
      <c r="A35" s="22" t="str">
        <f aca="false">IF($I35="","",INDEX(Accounts!$A$12:$A$311,MATCH($I35,Accounts!$T$12:$T$311,0))&amp;"")</f>
        <v/>
      </c>
      <c r="B35" s="30" t="str">
        <f aca="false">IF($I35="","",IF(INDEX(Accounts!$R$12:$R$311,MATCH($I35,Accounts!$T$12:$T$311,0))="Check inputs","—",INDEX(Accounts!$B$12:$B$311,MATCH($I35,Accounts!$T$12:$T$311,0))))</f>
        <v/>
      </c>
      <c r="C35" s="30" t="str">
        <f aca="false">IF($I35="","",IF(INDEX(Accounts!$R$12:$R$311,MATCH($I35,Accounts!$T$12:$T$311,0))="Check inputs","—",INDEX(Accounts!$M$12:$M$311,MATCH($I35,Accounts!$T$12:$T$311,0))))</f>
        <v/>
      </c>
      <c r="D35" s="30" t="str">
        <f aca="false">IF($I35="","",IF(INDEX(Accounts!$R$12:$R$311,MATCH($I35,Accounts!$T$12:$T$311,0))="Check inputs","—",INDEX(Accounts!$N$12:$N$311,MATCH($I35,Accounts!$T$12:$T$311,0))))</f>
        <v/>
      </c>
      <c r="E35" s="31" t="str">
        <f aca="false">IF($I35="","",IF(INDEX(Accounts!$R$12:$R$311,MATCH($I35,Accounts!$T$12:$T$311,0))="Check inputs","—",INDEX(Accounts!$O$12:$O$311,MATCH($I35,Accounts!$T$12:$T$311,0))))</f>
        <v/>
      </c>
      <c r="F35" s="30" t="str">
        <f aca="false">IF($I35="","",IF(INDEX(Accounts!$R$12:$R$311,MATCH($I35,Accounts!$T$12:$T$311,0))="Check inputs","—",INDEX(Accounts!$P$12:$P$311,MATCH($I35,Accounts!$T$12:$T$311,0))))</f>
        <v/>
      </c>
      <c r="G35" s="30" t="str">
        <f aca="false">IF($I35="","",IF(INDEX(Accounts!$R$12:$R$311,MATCH($I35,Accounts!$T$12:$T$311,0))="Check inputs","—",INDEX(Accounts!$Q$12:$Q$311,MATCH($I35,Accounts!$T$12:$T$311,0))))</f>
        <v/>
      </c>
      <c r="H35" s="32" t="str">
        <f aca="false">IF($I35="","",IF(INDEX(Accounts!$R$12:$R$311,MATCH($I35,Accounts!$T$12:$T$311,0))="Check inputs","Check inputs: "&amp;INDEX(Accounts!$S$12:$S$311,MATCH($I35,Accounts!$T$12:$T$311,0)),INDEX(Accounts!$R$12:$R$311,MATCH($I35,Accounts!$T$12:$T$311,0))))</f>
        <v/>
      </c>
      <c r="I35" s="33" t="str">
        <f aca="false">IF(27&gt;COUNT(Accounts!$T$12:$T$311),"",SMALL(Accounts!$T$12:$T$311,27))</f>
        <v/>
      </c>
    </row>
    <row r="36" customFormat="false" ht="15" hidden="false" customHeight="false" outlineLevel="0" collapsed="false">
      <c r="A36" s="22" t="str">
        <f aca="false">IF($I36="","",INDEX(Accounts!$A$12:$A$311,MATCH($I36,Accounts!$T$12:$T$311,0))&amp;"")</f>
        <v/>
      </c>
      <c r="B36" s="30" t="str">
        <f aca="false">IF($I36="","",IF(INDEX(Accounts!$R$12:$R$311,MATCH($I36,Accounts!$T$12:$T$311,0))="Check inputs","—",INDEX(Accounts!$B$12:$B$311,MATCH($I36,Accounts!$T$12:$T$311,0))))</f>
        <v/>
      </c>
      <c r="C36" s="30" t="str">
        <f aca="false">IF($I36="","",IF(INDEX(Accounts!$R$12:$R$311,MATCH($I36,Accounts!$T$12:$T$311,0))="Check inputs","—",INDEX(Accounts!$M$12:$M$311,MATCH($I36,Accounts!$T$12:$T$311,0))))</f>
        <v/>
      </c>
      <c r="D36" s="30" t="str">
        <f aca="false">IF($I36="","",IF(INDEX(Accounts!$R$12:$R$311,MATCH($I36,Accounts!$T$12:$T$311,0))="Check inputs","—",INDEX(Accounts!$N$12:$N$311,MATCH($I36,Accounts!$T$12:$T$311,0))))</f>
        <v/>
      </c>
      <c r="E36" s="31" t="str">
        <f aca="false">IF($I36="","",IF(INDEX(Accounts!$R$12:$R$311,MATCH($I36,Accounts!$T$12:$T$311,0))="Check inputs","—",INDEX(Accounts!$O$12:$O$311,MATCH($I36,Accounts!$T$12:$T$311,0))))</f>
        <v/>
      </c>
      <c r="F36" s="30" t="str">
        <f aca="false">IF($I36="","",IF(INDEX(Accounts!$R$12:$R$311,MATCH($I36,Accounts!$T$12:$T$311,0))="Check inputs","—",INDEX(Accounts!$P$12:$P$311,MATCH($I36,Accounts!$T$12:$T$311,0))))</f>
        <v/>
      </c>
      <c r="G36" s="30" t="str">
        <f aca="false">IF($I36="","",IF(INDEX(Accounts!$R$12:$R$311,MATCH($I36,Accounts!$T$12:$T$311,0))="Check inputs","—",INDEX(Accounts!$Q$12:$Q$311,MATCH($I36,Accounts!$T$12:$T$311,0))))</f>
        <v/>
      </c>
      <c r="H36" s="32" t="str">
        <f aca="false">IF($I36="","",IF(INDEX(Accounts!$R$12:$R$311,MATCH($I36,Accounts!$T$12:$T$311,0))="Check inputs","Check inputs: "&amp;INDEX(Accounts!$S$12:$S$311,MATCH($I36,Accounts!$T$12:$T$311,0)),INDEX(Accounts!$R$12:$R$311,MATCH($I36,Accounts!$T$12:$T$311,0))))</f>
        <v/>
      </c>
      <c r="I36" s="33" t="str">
        <f aca="false">IF(28&gt;COUNT(Accounts!$T$12:$T$311),"",SMALL(Accounts!$T$12:$T$311,28))</f>
        <v/>
      </c>
    </row>
    <row r="37" customFormat="false" ht="15" hidden="false" customHeight="false" outlineLevel="0" collapsed="false">
      <c r="A37" s="22" t="str">
        <f aca="false">IF($I37="","",INDEX(Accounts!$A$12:$A$311,MATCH($I37,Accounts!$T$12:$T$311,0))&amp;"")</f>
        <v/>
      </c>
      <c r="B37" s="30" t="str">
        <f aca="false">IF($I37="","",IF(INDEX(Accounts!$R$12:$R$311,MATCH($I37,Accounts!$T$12:$T$311,0))="Check inputs","—",INDEX(Accounts!$B$12:$B$311,MATCH($I37,Accounts!$T$12:$T$311,0))))</f>
        <v/>
      </c>
      <c r="C37" s="30" t="str">
        <f aca="false">IF($I37="","",IF(INDEX(Accounts!$R$12:$R$311,MATCH($I37,Accounts!$T$12:$T$311,0))="Check inputs","—",INDEX(Accounts!$M$12:$M$311,MATCH($I37,Accounts!$T$12:$T$311,0))))</f>
        <v/>
      </c>
      <c r="D37" s="30" t="str">
        <f aca="false">IF($I37="","",IF(INDEX(Accounts!$R$12:$R$311,MATCH($I37,Accounts!$T$12:$T$311,0))="Check inputs","—",INDEX(Accounts!$N$12:$N$311,MATCH($I37,Accounts!$T$12:$T$311,0))))</f>
        <v/>
      </c>
      <c r="E37" s="31" t="str">
        <f aca="false">IF($I37="","",IF(INDEX(Accounts!$R$12:$R$311,MATCH($I37,Accounts!$T$12:$T$311,0))="Check inputs","—",INDEX(Accounts!$O$12:$O$311,MATCH($I37,Accounts!$T$12:$T$311,0))))</f>
        <v/>
      </c>
      <c r="F37" s="30" t="str">
        <f aca="false">IF($I37="","",IF(INDEX(Accounts!$R$12:$R$311,MATCH($I37,Accounts!$T$12:$T$311,0))="Check inputs","—",INDEX(Accounts!$P$12:$P$311,MATCH($I37,Accounts!$T$12:$T$311,0))))</f>
        <v/>
      </c>
      <c r="G37" s="30" t="str">
        <f aca="false">IF($I37="","",IF(INDEX(Accounts!$R$12:$R$311,MATCH($I37,Accounts!$T$12:$T$311,0))="Check inputs","—",INDEX(Accounts!$Q$12:$Q$311,MATCH($I37,Accounts!$T$12:$T$311,0))))</f>
        <v/>
      </c>
      <c r="H37" s="32" t="str">
        <f aca="false">IF($I37="","",IF(INDEX(Accounts!$R$12:$R$311,MATCH($I37,Accounts!$T$12:$T$311,0))="Check inputs","Check inputs: "&amp;INDEX(Accounts!$S$12:$S$311,MATCH($I37,Accounts!$T$12:$T$311,0)),INDEX(Accounts!$R$12:$R$311,MATCH($I37,Accounts!$T$12:$T$311,0))))</f>
        <v/>
      </c>
      <c r="I37" s="33" t="str">
        <f aca="false">IF(29&gt;COUNT(Accounts!$T$12:$T$311),"",SMALL(Accounts!$T$12:$T$311,29))</f>
        <v/>
      </c>
    </row>
    <row r="38" customFormat="false" ht="15" hidden="false" customHeight="false" outlineLevel="0" collapsed="false">
      <c r="A38" s="22" t="str">
        <f aca="false">IF($I38="","",INDEX(Accounts!$A$12:$A$311,MATCH($I38,Accounts!$T$12:$T$311,0))&amp;"")</f>
        <v/>
      </c>
      <c r="B38" s="30" t="str">
        <f aca="false">IF($I38="","",IF(INDEX(Accounts!$R$12:$R$311,MATCH($I38,Accounts!$T$12:$T$311,0))="Check inputs","—",INDEX(Accounts!$B$12:$B$311,MATCH($I38,Accounts!$T$12:$T$311,0))))</f>
        <v/>
      </c>
      <c r="C38" s="30" t="str">
        <f aca="false">IF($I38="","",IF(INDEX(Accounts!$R$12:$R$311,MATCH($I38,Accounts!$T$12:$T$311,0))="Check inputs","—",INDEX(Accounts!$M$12:$M$311,MATCH($I38,Accounts!$T$12:$T$311,0))))</f>
        <v/>
      </c>
      <c r="D38" s="30" t="str">
        <f aca="false">IF($I38="","",IF(INDEX(Accounts!$R$12:$R$311,MATCH($I38,Accounts!$T$12:$T$311,0))="Check inputs","—",INDEX(Accounts!$N$12:$N$311,MATCH($I38,Accounts!$T$12:$T$311,0))))</f>
        <v/>
      </c>
      <c r="E38" s="31" t="str">
        <f aca="false">IF($I38="","",IF(INDEX(Accounts!$R$12:$R$311,MATCH($I38,Accounts!$T$12:$T$311,0))="Check inputs","—",INDEX(Accounts!$O$12:$O$311,MATCH($I38,Accounts!$T$12:$T$311,0))))</f>
        <v/>
      </c>
      <c r="F38" s="30" t="str">
        <f aca="false">IF($I38="","",IF(INDEX(Accounts!$R$12:$R$311,MATCH($I38,Accounts!$T$12:$T$311,0))="Check inputs","—",INDEX(Accounts!$P$12:$P$311,MATCH($I38,Accounts!$T$12:$T$311,0))))</f>
        <v/>
      </c>
      <c r="G38" s="30" t="str">
        <f aca="false">IF($I38="","",IF(INDEX(Accounts!$R$12:$R$311,MATCH($I38,Accounts!$T$12:$T$311,0))="Check inputs","—",INDEX(Accounts!$Q$12:$Q$311,MATCH($I38,Accounts!$T$12:$T$311,0))))</f>
        <v/>
      </c>
      <c r="H38" s="32" t="str">
        <f aca="false">IF($I38="","",IF(INDEX(Accounts!$R$12:$R$311,MATCH($I38,Accounts!$T$12:$T$311,0))="Check inputs","Check inputs: "&amp;INDEX(Accounts!$S$12:$S$311,MATCH($I38,Accounts!$T$12:$T$311,0)),INDEX(Accounts!$R$12:$R$311,MATCH($I38,Accounts!$T$12:$T$311,0))))</f>
        <v/>
      </c>
      <c r="I38" s="33" t="str">
        <f aca="false">IF(30&gt;COUNT(Accounts!$T$12:$T$311),"",SMALL(Accounts!$T$12:$T$311,30))</f>
        <v/>
      </c>
    </row>
    <row r="39" customFormat="false" ht="15" hidden="false" customHeight="false" outlineLevel="0" collapsed="false">
      <c r="A39" s="22" t="str">
        <f aca="false">IF($I39="","",INDEX(Accounts!$A$12:$A$311,MATCH($I39,Accounts!$T$12:$T$311,0))&amp;"")</f>
        <v/>
      </c>
      <c r="B39" s="30" t="str">
        <f aca="false">IF($I39="","",IF(INDEX(Accounts!$R$12:$R$311,MATCH($I39,Accounts!$T$12:$T$311,0))="Check inputs","—",INDEX(Accounts!$B$12:$B$311,MATCH($I39,Accounts!$T$12:$T$311,0))))</f>
        <v/>
      </c>
      <c r="C39" s="30" t="str">
        <f aca="false">IF($I39="","",IF(INDEX(Accounts!$R$12:$R$311,MATCH($I39,Accounts!$T$12:$T$311,0))="Check inputs","—",INDEX(Accounts!$M$12:$M$311,MATCH($I39,Accounts!$T$12:$T$311,0))))</f>
        <v/>
      </c>
      <c r="D39" s="30" t="str">
        <f aca="false">IF($I39="","",IF(INDEX(Accounts!$R$12:$R$311,MATCH($I39,Accounts!$T$12:$T$311,0))="Check inputs","—",INDEX(Accounts!$N$12:$N$311,MATCH($I39,Accounts!$T$12:$T$311,0))))</f>
        <v/>
      </c>
      <c r="E39" s="31" t="str">
        <f aca="false">IF($I39="","",IF(INDEX(Accounts!$R$12:$R$311,MATCH($I39,Accounts!$T$12:$T$311,0))="Check inputs","—",INDEX(Accounts!$O$12:$O$311,MATCH($I39,Accounts!$T$12:$T$311,0))))</f>
        <v/>
      </c>
      <c r="F39" s="30" t="str">
        <f aca="false">IF($I39="","",IF(INDEX(Accounts!$R$12:$R$311,MATCH($I39,Accounts!$T$12:$T$311,0))="Check inputs","—",INDEX(Accounts!$P$12:$P$311,MATCH($I39,Accounts!$T$12:$T$311,0))))</f>
        <v/>
      </c>
      <c r="G39" s="30" t="str">
        <f aca="false">IF($I39="","",IF(INDEX(Accounts!$R$12:$R$311,MATCH($I39,Accounts!$T$12:$T$311,0))="Check inputs","—",INDEX(Accounts!$Q$12:$Q$311,MATCH($I39,Accounts!$T$12:$T$311,0))))</f>
        <v/>
      </c>
      <c r="H39" s="32" t="str">
        <f aca="false">IF($I39="","",IF(INDEX(Accounts!$R$12:$R$311,MATCH($I39,Accounts!$T$12:$T$311,0))="Check inputs","Check inputs: "&amp;INDEX(Accounts!$S$12:$S$311,MATCH($I39,Accounts!$T$12:$T$311,0)),INDEX(Accounts!$R$12:$R$311,MATCH($I39,Accounts!$T$12:$T$311,0))))</f>
        <v/>
      </c>
      <c r="I39" s="33" t="str">
        <f aca="false">IF(31&gt;COUNT(Accounts!$T$12:$T$311),"",SMALL(Accounts!$T$12:$T$311,31))</f>
        <v/>
      </c>
    </row>
    <row r="40" customFormat="false" ht="15" hidden="false" customHeight="false" outlineLevel="0" collapsed="false">
      <c r="A40" s="22" t="str">
        <f aca="false">IF($I40="","",INDEX(Accounts!$A$12:$A$311,MATCH($I40,Accounts!$T$12:$T$311,0))&amp;"")</f>
        <v/>
      </c>
      <c r="B40" s="30" t="str">
        <f aca="false">IF($I40="","",IF(INDEX(Accounts!$R$12:$R$311,MATCH($I40,Accounts!$T$12:$T$311,0))="Check inputs","—",INDEX(Accounts!$B$12:$B$311,MATCH($I40,Accounts!$T$12:$T$311,0))))</f>
        <v/>
      </c>
      <c r="C40" s="30" t="str">
        <f aca="false">IF($I40="","",IF(INDEX(Accounts!$R$12:$R$311,MATCH($I40,Accounts!$T$12:$T$311,0))="Check inputs","—",INDEX(Accounts!$M$12:$M$311,MATCH($I40,Accounts!$T$12:$T$311,0))))</f>
        <v/>
      </c>
      <c r="D40" s="30" t="str">
        <f aca="false">IF($I40="","",IF(INDEX(Accounts!$R$12:$R$311,MATCH($I40,Accounts!$T$12:$T$311,0))="Check inputs","—",INDEX(Accounts!$N$12:$N$311,MATCH($I40,Accounts!$T$12:$T$311,0))))</f>
        <v/>
      </c>
      <c r="E40" s="31" t="str">
        <f aca="false">IF($I40="","",IF(INDEX(Accounts!$R$12:$R$311,MATCH($I40,Accounts!$T$12:$T$311,0))="Check inputs","—",INDEX(Accounts!$O$12:$O$311,MATCH($I40,Accounts!$T$12:$T$311,0))))</f>
        <v/>
      </c>
      <c r="F40" s="30" t="str">
        <f aca="false">IF($I40="","",IF(INDEX(Accounts!$R$12:$R$311,MATCH($I40,Accounts!$T$12:$T$311,0))="Check inputs","—",INDEX(Accounts!$P$12:$P$311,MATCH($I40,Accounts!$T$12:$T$311,0))))</f>
        <v/>
      </c>
      <c r="G40" s="30" t="str">
        <f aca="false">IF($I40="","",IF(INDEX(Accounts!$R$12:$R$311,MATCH($I40,Accounts!$T$12:$T$311,0))="Check inputs","—",INDEX(Accounts!$Q$12:$Q$311,MATCH($I40,Accounts!$T$12:$T$311,0))))</f>
        <v/>
      </c>
      <c r="H40" s="32" t="str">
        <f aca="false">IF($I40="","",IF(INDEX(Accounts!$R$12:$R$311,MATCH($I40,Accounts!$T$12:$T$311,0))="Check inputs","Check inputs: "&amp;INDEX(Accounts!$S$12:$S$311,MATCH($I40,Accounts!$T$12:$T$311,0)),INDEX(Accounts!$R$12:$R$311,MATCH($I40,Accounts!$T$12:$T$311,0))))</f>
        <v/>
      </c>
      <c r="I40" s="33" t="str">
        <f aca="false">IF(32&gt;COUNT(Accounts!$T$12:$T$311),"",SMALL(Accounts!$T$12:$T$311,32))</f>
        <v/>
      </c>
    </row>
    <row r="41" customFormat="false" ht="15" hidden="false" customHeight="false" outlineLevel="0" collapsed="false">
      <c r="A41" s="22" t="str">
        <f aca="false">IF($I41="","",INDEX(Accounts!$A$12:$A$311,MATCH($I41,Accounts!$T$12:$T$311,0))&amp;"")</f>
        <v/>
      </c>
      <c r="B41" s="30" t="str">
        <f aca="false">IF($I41="","",IF(INDEX(Accounts!$R$12:$R$311,MATCH($I41,Accounts!$T$12:$T$311,0))="Check inputs","—",INDEX(Accounts!$B$12:$B$311,MATCH($I41,Accounts!$T$12:$T$311,0))))</f>
        <v/>
      </c>
      <c r="C41" s="30" t="str">
        <f aca="false">IF($I41="","",IF(INDEX(Accounts!$R$12:$R$311,MATCH($I41,Accounts!$T$12:$T$311,0))="Check inputs","—",INDEX(Accounts!$M$12:$M$311,MATCH($I41,Accounts!$T$12:$T$311,0))))</f>
        <v/>
      </c>
      <c r="D41" s="30" t="str">
        <f aca="false">IF($I41="","",IF(INDEX(Accounts!$R$12:$R$311,MATCH($I41,Accounts!$T$12:$T$311,0))="Check inputs","—",INDEX(Accounts!$N$12:$N$311,MATCH($I41,Accounts!$T$12:$T$311,0))))</f>
        <v/>
      </c>
      <c r="E41" s="31" t="str">
        <f aca="false">IF($I41="","",IF(INDEX(Accounts!$R$12:$R$311,MATCH($I41,Accounts!$T$12:$T$311,0))="Check inputs","—",INDEX(Accounts!$O$12:$O$311,MATCH($I41,Accounts!$T$12:$T$311,0))))</f>
        <v/>
      </c>
      <c r="F41" s="30" t="str">
        <f aca="false">IF($I41="","",IF(INDEX(Accounts!$R$12:$R$311,MATCH($I41,Accounts!$T$12:$T$311,0))="Check inputs","—",INDEX(Accounts!$P$12:$P$311,MATCH($I41,Accounts!$T$12:$T$311,0))))</f>
        <v/>
      </c>
      <c r="G41" s="30" t="str">
        <f aca="false">IF($I41="","",IF(INDEX(Accounts!$R$12:$R$311,MATCH($I41,Accounts!$T$12:$T$311,0))="Check inputs","—",INDEX(Accounts!$Q$12:$Q$311,MATCH($I41,Accounts!$T$12:$T$311,0))))</f>
        <v/>
      </c>
      <c r="H41" s="32" t="str">
        <f aca="false">IF($I41="","",IF(INDEX(Accounts!$R$12:$R$311,MATCH($I41,Accounts!$T$12:$T$311,0))="Check inputs","Check inputs: "&amp;INDEX(Accounts!$S$12:$S$311,MATCH($I41,Accounts!$T$12:$T$311,0)),INDEX(Accounts!$R$12:$R$311,MATCH($I41,Accounts!$T$12:$T$311,0))))</f>
        <v/>
      </c>
      <c r="I41" s="33" t="str">
        <f aca="false">IF(33&gt;COUNT(Accounts!$T$12:$T$311),"",SMALL(Accounts!$T$12:$T$311,33))</f>
        <v/>
      </c>
    </row>
    <row r="42" customFormat="false" ht="15" hidden="false" customHeight="false" outlineLevel="0" collapsed="false">
      <c r="A42" s="22" t="str">
        <f aca="false">IF($I42="","",INDEX(Accounts!$A$12:$A$311,MATCH($I42,Accounts!$T$12:$T$311,0))&amp;"")</f>
        <v/>
      </c>
      <c r="B42" s="30" t="str">
        <f aca="false">IF($I42="","",IF(INDEX(Accounts!$R$12:$R$311,MATCH($I42,Accounts!$T$12:$T$311,0))="Check inputs","—",INDEX(Accounts!$B$12:$B$311,MATCH($I42,Accounts!$T$12:$T$311,0))))</f>
        <v/>
      </c>
      <c r="C42" s="30" t="str">
        <f aca="false">IF($I42="","",IF(INDEX(Accounts!$R$12:$R$311,MATCH($I42,Accounts!$T$12:$T$311,0))="Check inputs","—",INDEX(Accounts!$M$12:$M$311,MATCH($I42,Accounts!$T$12:$T$311,0))))</f>
        <v/>
      </c>
      <c r="D42" s="30" t="str">
        <f aca="false">IF($I42="","",IF(INDEX(Accounts!$R$12:$R$311,MATCH($I42,Accounts!$T$12:$T$311,0))="Check inputs","—",INDEX(Accounts!$N$12:$N$311,MATCH($I42,Accounts!$T$12:$T$311,0))))</f>
        <v/>
      </c>
      <c r="E42" s="31" t="str">
        <f aca="false">IF($I42="","",IF(INDEX(Accounts!$R$12:$R$311,MATCH($I42,Accounts!$T$12:$T$311,0))="Check inputs","—",INDEX(Accounts!$O$12:$O$311,MATCH($I42,Accounts!$T$12:$T$311,0))))</f>
        <v/>
      </c>
      <c r="F42" s="30" t="str">
        <f aca="false">IF($I42="","",IF(INDEX(Accounts!$R$12:$R$311,MATCH($I42,Accounts!$T$12:$T$311,0))="Check inputs","—",INDEX(Accounts!$P$12:$P$311,MATCH($I42,Accounts!$T$12:$T$311,0))))</f>
        <v/>
      </c>
      <c r="G42" s="30" t="str">
        <f aca="false">IF($I42="","",IF(INDEX(Accounts!$R$12:$R$311,MATCH($I42,Accounts!$T$12:$T$311,0))="Check inputs","—",INDEX(Accounts!$Q$12:$Q$311,MATCH($I42,Accounts!$T$12:$T$311,0))))</f>
        <v/>
      </c>
      <c r="H42" s="32" t="str">
        <f aca="false">IF($I42="","",IF(INDEX(Accounts!$R$12:$R$311,MATCH($I42,Accounts!$T$12:$T$311,0))="Check inputs","Check inputs: "&amp;INDEX(Accounts!$S$12:$S$311,MATCH($I42,Accounts!$T$12:$T$311,0)),INDEX(Accounts!$R$12:$R$311,MATCH($I42,Accounts!$T$12:$T$311,0))))</f>
        <v/>
      </c>
      <c r="I42" s="33" t="str">
        <f aca="false">IF(34&gt;COUNT(Accounts!$T$12:$T$311),"",SMALL(Accounts!$T$12:$T$311,34))</f>
        <v/>
      </c>
    </row>
    <row r="43" customFormat="false" ht="15" hidden="false" customHeight="false" outlineLevel="0" collapsed="false">
      <c r="A43" s="22" t="str">
        <f aca="false">IF($I43="","",INDEX(Accounts!$A$12:$A$311,MATCH($I43,Accounts!$T$12:$T$311,0))&amp;"")</f>
        <v/>
      </c>
      <c r="B43" s="30" t="str">
        <f aca="false">IF($I43="","",IF(INDEX(Accounts!$R$12:$R$311,MATCH($I43,Accounts!$T$12:$T$311,0))="Check inputs","—",INDEX(Accounts!$B$12:$B$311,MATCH($I43,Accounts!$T$12:$T$311,0))))</f>
        <v/>
      </c>
      <c r="C43" s="30" t="str">
        <f aca="false">IF($I43="","",IF(INDEX(Accounts!$R$12:$R$311,MATCH($I43,Accounts!$T$12:$T$311,0))="Check inputs","—",INDEX(Accounts!$M$12:$M$311,MATCH($I43,Accounts!$T$12:$T$311,0))))</f>
        <v/>
      </c>
      <c r="D43" s="30" t="str">
        <f aca="false">IF($I43="","",IF(INDEX(Accounts!$R$12:$R$311,MATCH($I43,Accounts!$T$12:$T$311,0))="Check inputs","—",INDEX(Accounts!$N$12:$N$311,MATCH($I43,Accounts!$T$12:$T$311,0))))</f>
        <v/>
      </c>
      <c r="E43" s="31" t="str">
        <f aca="false">IF($I43="","",IF(INDEX(Accounts!$R$12:$R$311,MATCH($I43,Accounts!$T$12:$T$311,0))="Check inputs","—",INDEX(Accounts!$O$12:$O$311,MATCH($I43,Accounts!$T$12:$T$311,0))))</f>
        <v/>
      </c>
      <c r="F43" s="30" t="str">
        <f aca="false">IF($I43="","",IF(INDEX(Accounts!$R$12:$R$311,MATCH($I43,Accounts!$T$12:$T$311,0))="Check inputs","—",INDEX(Accounts!$P$12:$P$311,MATCH($I43,Accounts!$T$12:$T$311,0))))</f>
        <v/>
      </c>
      <c r="G43" s="30" t="str">
        <f aca="false">IF($I43="","",IF(INDEX(Accounts!$R$12:$R$311,MATCH($I43,Accounts!$T$12:$T$311,0))="Check inputs","—",INDEX(Accounts!$Q$12:$Q$311,MATCH($I43,Accounts!$T$12:$T$311,0))))</f>
        <v/>
      </c>
      <c r="H43" s="32" t="str">
        <f aca="false">IF($I43="","",IF(INDEX(Accounts!$R$12:$R$311,MATCH($I43,Accounts!$T$12:$T$311,0))="Check inputs","Check inputs: "&amp;INDEX(Accounts!$S$12:$S$311,MATCH($I43,Accounts!$T$12:$T$311,0)),INDEX(Accounts!$R$12:$R$311,MATCH($I43,Accounts!$T$12:$T$311,0))))</f>
        <v/>
      </c>
      <c r="I43" s="33" t="str">
        <f aca="false">IF(35&gt;COUNT(Accounts!$T$12:$T$311),"",SMALL(Accounts!$T$12:$T$311,35))</f>
        <v/>
      </c>
    </row>
    <row r="44" customFormat="false" ht="15" hidden="false" customHeight="false" outlineLevel="0" collapsed="false">
      <c r="A44" s="22" t="str">
        <f aca="false">IF($I44="","",INDEX(Accounts!$A$12:$A$311,MATCH($I44,Accounts!$T$12:$T$311,0))&amp;"")</f>
        <v/>
      </c>
      <c r="B44" s="30" t="str">
        <f aca="false">IF($I44="","",IF(INDEX(Accounts!$R$12:$R$311,MATCH($I44,Accounts!$T$12:$T$311,0))="Check inputs","—",INDEX(Accounts!$B$12:$B$311,MATCH($I44,Accounts!$T$12:$T$311,0))))</f>
        <v/>
      </c>
      <c r="C44" s="30" t="str">
        <f aca="false">IF($I44="","",IF(INDEX(Accounts!$R$12:$R$311,MATCH($I44,Accounts!$T$12:$T$311,0))="Check inputs","—",INDEX(Accounts!$M$12:$M$311,MATCH($I44,Accounts!$T$12:$T$311,0))))</f>
        <v/>
      </c>
      <c r="D44" s="30" t="str">
        <f aca="false">IF($I44="","",IF(INDEX(Accounts!$R$12:$R$311,MATCH($I44,Accounts!$T$12:$T$311,0))="Check inputs","—",INDEX(Accounts!$N$12:$N$311,MATCH($I44,Accounts!$T$12:$T$311,0))))</f>
        <v/>
      </c>
      <c r="E44" s="31" t="str">
        <f aca="false">IF($I44="","",IF(INDEX(Accounts!$R$12:$R$311,MATCH($I44,Accounts!$T$12:$T$311,0))="Check inputs","—",INDEX(Accounts!$O$12:$O$311,MATCH($I44,Accounts!$T$12:$T$311,0))))</f>
        <v/>
      </c>
      <c r="F44" s="30" t="str">
        <f aca="false">IF($I44="","",IF(INDEX(Accounts!$R$12:$R$311,MATCH($I44,Accounts!$T$12:$T$311,0))="Check inputs","—",INDEX(Accounts!$P$12:$P$311,MATCH($I44,Accounts!$T$12:$T$311,0))))</f>
        <v/>
      </c>
      <c r="G44" s="30" t="str">
        <f aca="false">IF($I44="","",IF(INDEX(Accounts!$R$12:$R$311,MATCH($I44,Accounts!$T$12:$T$311,0))="Check inputs","—",INDEX(Accounts!$Q$12:$Q$311,MATCH($I44,Accounts!$T$12:$T$311,0))))</f>
        <v/>
      </c>
      <c r="H44" s="32" t="str">
        <f aca="false">IF($I44="","",IF(INDEX(Accounts!$R$12:$R$311,MATCH($I44,Accounts!$T$12:$T$311,0))="Check inputs","Check inputs: "&amp;INDEX(Accounts!$S$12:$S$311,MATCH($I44,Accounts!$T$12:$T$311,0)),INDEX(Accounts!$R$12:$R$311,MATCH($I44,Accounts!$T$12:$T$311,0))))</f>
        <v/>
      </c>
      <c r="I44" s="33" t="str">
        <f aca="false">IF(36&gt;COUNT(Accounts!$T$12:$T$311),"",SMALL(Accounts!$T$12:$T$311,36))</f>
        <v/>
      </c>
    </row>
    <row r="45" customFormat="false" ht="15" hidden="false" customHeight="false" outlineLevel="0" collapsed="false">
      <c r="A45" s="22" t="str">
        <f aca="false">IF($I45="","",INDEX(Accounts!$A$12:$A$311,MATCH($I45,Accounts!$T$12:$T$311,0))&amp;"")</f>
        <v/>
      </c>
      <c r="B45" s="30" t="str">
        <f aca="false">IF($I45="","",IF(INDEX(Accounts!$R$12:$R$311,MATCH($I45,Accounts!$T$12:$T$311,0))="Check inputs","—",INDEX(Accounts!$B$12:$B$311,MATCH($I45,Accounts!$T$12:$T$311,0))))</f>
        <v/>
      </c>
      <c r="C45" s="30" t="str">
        <f aca="false">IF($I45="","",IF(INDEX(Accounts!$R$12:$R$311,MATCH($I45,Accounts!$T$12:$T$311,0))="Check inputs","—",INDEX(Accounts!$M$12:$M$311,MATCH($I45,Accounts!$T$12:$T$311,0))))</f>
        <v/>
      </c>
      <c r="D45" s="30" t="str">
        <f aca="false">IF($I45="","",IF(INDEX(Accounts!$R$12:$R$311,MATCH($I45,Accounts!$T$12:$T$311,0))="Check inputs","—",INDEX(Accounts!$N$12:$N$311,MATCH($I45,Accounts!$T$12:$T$311,0))))</f>
        <v/>
      </c>
      <c r="E45" s="31" t="str">
        <f aca="false">IF($I45="","",IF(INDEX(Accounts!$R$12:$R$311,MATCH($I45,Accounts!$T$12:$T$311,0))="Check inputs","—",INDEX(Accounts!$O$12:$O$311,MATCH($I45,Accounts!$T$12:$T$311,0))))</f>
        <v/>
      </c>
      <c r="F45" s="30" t="str">
        <f aca="false">IF($I45="","",IF(INDEX(Accounts!$R$12:$R$311,MATCH($I45,Accounts!$T$12:$T$311,0))="Check inputs","—",INDEX(Accounts!$P$12:$P$311,MATCH($I45,Accounts!$T$12:$T$311,0))))</f>
        <v/>
      </c>
      <c r="G45" s="30" t="str">
        <f aca="false">IF($I45="","",IF(INDEX(Accounts!$R$12:$R$311,MATCH($I45,Accounts!$T$12:$T$311,0))="Check inputs","—",INDEX(Accounts!$Q$12:$Q$311,MATCH($I45,Accounts!$T$12:$T$311,0))))</f>
        <v/>
      </c>
      <c r="H45" s="32" t="str">
        <f aca="false">IF($I45="","",IF(INDEX(Accounts!$R$12:$R$311,MATCH($I45,Accounts!$T$12:$T$311,0))="Check inputs","Check inputs: "&amp;INDEX(Accounts!$S$12:$S$311,MATCH($I45,Accounts!$T$12:$T$311,0)),INDEX(Accounts!$R$12:$R$311,MATCH($I45,Accounts!$T$12:$T$311,0))))</f>
        <v/>
      </c>
      <c r="I45" s="33" t="str">
        <f aca="false">IF(37&gt;COUNT(Accounts!$T$12:$T$311),"",SMALL(Accounts!$T$12:$T$311,37))</f>
        <v/>
      </c>
    </row>
    <row r="46" customFormat="false" ht="15" hidden="false" customHeight="false" outlineLevel="0" collapsed="false">
      <c r="A46" s="22" t="str">
        <f aca="false">IF($I46="","",INDEX(Accounts!$A$12:$A$311,MATCH($I46,Accounts!$T$12:$T$311,0))&amp;"")</f>
        <v/>
      </c>
      <c r="B46" s="30" t="str">
        <f aca="false">IF($I46="","",IF(INDEX(Accounts!$R$12:$R$311,MATCH($I46,Accounts!$T$12:$T$311,0))="Check inputs","—",INDEX(Accounts!$B$12:$B$311,MATCH($I46,Accounts!$T$12:$T$311,0))))</f>
        <v/>
      </c>
      <c r="C46" s="30" t="str">
        <f aca="false">IF($I46="","",IF(INDEX(Accounts!$R$12:$R$311,MATCH($I46,Accounts!$T$12:$T$311,0))="Check inputs","—",INDEX(Accounts!$M$12:$M$311,MATCH($I46,Accounts!$T$12:$T$311,0))))</f>
        <v/>
      </c>
      <c r="D46" s="30" t="str">
        <f aca="false">IF($I46="","",IF(INDEX(Accounts!$R$12:$R$311,MATCH($I46,Accounts!$T$12:$T$311,0))="Check inputs","—",INDEX(Accounts!$N$12:$N$311,MATCH($I46,Accounts!$T$12:$T$311,0))))</f>
        <v/>
      </c>
      <c r="E46" s="31" t="str">
        <f aca="false">IF($I46="","",IF(INDEX(Accounts!$R$12:$R$311,MATCH($I46,Accounts!$T$12:$T$311,0))="Check inputs","—",INDEX(Accounts!$O$12:$O$311,MATCH($I46,Accounts!$T$12:$T$311,0))))</f>
        <v/>
      </c>
      <c r="F46" s="30" t="str">
        <f aca="false">IF($I46="","",IF(INDEX(Accounts!$R$12:$R$311,MATCH($I46,Accounts!$T$12:$T$311,0))="Check inputs","—",INDEX(Accounts!$P$12:$P$311,MATCH($I46,Accounts!$T$12:$T$311,0))))</f>
        <v/>
      </c>
      <c r="G46" s="30" t="str">
        <f aca="false">IF($I46="","",IF(INDEX(Accounts!$R$12:$R$311,MATCH($I46,Accounts!$T$12:$T$311,0))="Check inputs","—",INDEX(Accounts!$Q$12:$Q$311,MATCH($I46,Accounts!$T$12:$T$311,0))))</f>
        <v/>
      </c>
      <c r="H46" s="32" t="str">
        <f aca="false">IF($I46="","",IF(INDEX(Accounts!$R$12:$R$311,MATCH($I46,Accounts!$T$12:$T$311,0))="Check inputs","Check inputs: "&amp;INDEX(Accounts!$S$12:$S$311,MATCH($I46,Accounts!$T$12:$T$311,0)),INDEX(Accounts!$R$12:$R$311,MATCH($I46,Accounts!$T$12:$T$311,0))))</f>
        <v/>
      </c>
      <c r="I46" s="33" t="str">
        <f aca="false">IF(38&gt;COUNT(Accounts!$T$12:$T$311),"",SMALL(Accounts!$T$12:$T$311,38))</f>
        <v/>
      </c>
    </row>
    <row r="47" customFormat="false" ht="15" hidden="false" customHeight="false" outlineLevel="0" collapsed="false">
      <c r="A47" s="22" t="str">
        <f aca="false">IF($I47="","",INDEX(Accounts!$A$12:$A$311,MATCH($I47,Accounts!$T$12:$T$311,0))&amp;"")</f>
        <v/>
      </c>
      <c r="B47" s="30" t="str">
        <f aca="false">IF($I47="","",IF(INDEX(Accounts!$R$12:$R$311,MATCH($I47,Accounts!$T$12:$T$311,0))="Check inputs","—",INDEX(Accounts!$B$12:$B$311,MATCH($I47,Accounts!$T$12:$T$311,0))))</f>
        <v/>
      </c>
      <c r="C47" s="30" t="str">
        <f aca="false">IF($I47="","",IF(INDEX(Accounts!$R$12:$R$311,MATCH($I47,Accounts!$T$12:$T$311,0))="Check inputs","—",INDEX(Accounts!$M$12:$M$311,MATCH($I47,Accounts!$T$12:$T$311,0))))</f>
        <v/>
      </c>
      <c r="D47" s="30" t="str">
        <f aca="false">IF($I47="","",IF(INDEX(Accounts!$R$12:$R$311,MATCH($I47,Accounts!$T$12:$T$311,0))="Check inputs","—",INDEX(Accounts!$N$12:$N$311,MATCH($I47,Accounts!$T$12:$T$311,0))))</f>
        <v/>
      </c>
      <c r="E47" s="31" t="str">
        <f aca="false">IF($I47="","",IF(INDEX(Accounts!$R$12:$R$311,MATCH($I47,Accounts!$T$12:$T$311,0))="Check inputs","—",INDEX(Accounts!$O$12:$O$311,MATCH($I47,Accounts!$T$12:$T$311,0))))</f>
        <v/>
      </c>
      <c r="F47" s="30" t="str">
        <f aca="false">IF($I47="","",IF(INDEX(Accounts!$R$12:$R$311,MATCH($I47,Accounts!$T$12:$T$311,0))="Check inputs","—",INDEX(Accounts!$P$12:$P$311,MATCH($I47,Accounts!$T$12:$T$311,0))))</f>
        <v/>
      </c>
      <c r="G47" s="30" t="str">
        <f aca="false">IF($I47="","",IF(INDEX(Accounts!$R$12:$R$311,MATCH($I47,Accounts!$T$12:$T$311,0))="Check inputs","—",INDEX(Accounts!$Q$12:$Q$311,MATCH($I47,Accounts!$T$12:$T$311,0))))</f>
        <v/>
      </c>
      <c r="H47" s="32" t="str">
        <f aca="false">IF($I47="","",IF(INDEX(Accounts!$R$12:$R$311,MATCH($I47,Accounts!$T$12:$T$311,0))="Check inputs","Check inputs: "&amp;INDEX(Accounts!$S$12:$S$311,MATCH($I47,Accounts!$T$12:$T$311,0)),INDEX(Accounts!$R$12:$R$311,MATCH($I47,Accounts!$T$12:$T$311,0))))</f>
        <v/>
      </c>
      <c r="I47" s="33" t="str">
        <f aca="false">IF(39&gt;COUNT(Accounts!$T$12:$T$311),"",SMALL(Accounts!$T$12:$T$311,39))</f>
        <v/>
      </c>
    </row>
    <row r="48" customFormat="false" ht="15" hidden="false" customHeight="false" outlineLevel="0" collapsed="false">
      <c r="A48" s="22" t="str">
        <f aca="false">IF($I48="","",INDEX(Accounts!$A$12:$A$311,MATCH($I48,Accounts!$T$12:$T$311,0))&amp;"")</f>
        <v/>
      </c>
      <c r="B48" s="30" t="str">
        <f aca="false">IF($I48="","",IF(INDEX(Accounts!$R$12:$R$311,MATCH($I48,Accounts!$T$12:$T$311,0))="Check inputs","—",INDEX(Accounts!$B$12:$B$311,MATCH($I48,Accounts!$T$12:$T$311,0))))</f>
        <v/>
      </c>
      <c r="C48" s="30" t="str">
        <f aca="false">IF($I48="","",IF(INDEX(Accounts!$R$12:$R$311,MATCH($I48,Accounts!$T$12:$T$311,0))="Check inputs","—",INDEX(Accounts!$M$12:$M$311,MATCH($I48,Accounts!$T$12:$T$311,0))))</f>
        <v/>
      </c>
      <c r="D48" s="30" t="str">
        <f aca="false">IF($I48="","",IF(INDEX(Accounts!$R$12:$R$311,MATCH($I48,Accounts!$T$12:$T$311,0))="Check inputs","—",INDEX(Accounts!$N$12:$N$311,MATCH($I48,Accounts!$T$12:$T$311,0))))</f>
        <v/>
      </c>
      <c r="E48" s="31" t="str">
        <f aca="false">IF($I48="","",IF(INDEX(Accounts!$R$12:$R$311,MATCH($I48,Accounts!$T$12:$T$311,0))="Check inputs","—",INDEX(Accounts!$O$12:$O$311,MATCH($I48,Accounts!$T$12:$T$311,0))))</f>
        <v/>
      </c>
      <c r="F48" s="30" t="str">
        <f aca="false">IF($I48="","",IF(INDEX(Accounts!$R$12:$R$311,MATCH($I48,Accounts!$T$12:$T$311,0))="Check inputs","—",INDEX(Accounts!$P$12:$P$311,MATCH($I48,Accounts!$T$12:$T$311,0))))</f>
        <v/>
      </c>
      <c r="G48" s="30" t="str">
        <f aca="false">IF($I48="","",IF(INDEX(Accounts!$R$12:$R$311,MATCH($I48,Accounts!$T$12:$T$311,0))="Check inputs","—",INDEX(Accounts!$Q$12:$Q$311,MATCH($I48,Accounts!$T$12:$T$311,0))))</f>
        <v/>
      </c>
      <c r="H48" s="32" t="str">
        <f aca="false">IF($I48="","",IF(INDEX(Accounts!$R$12:$R$311,MATCH($I48,Accounts!$T$12:$T$311,0))="Check inputs","Check inputs: "&amp;INDEX(Accounts!$S$12:$S$311,MATCH($I48,Accounts!$T$12:$T$311,0)),INDEX(Accounts!$R$12:$R$311,MATCH($I48,Accounts!$T$12:$T$311,0))))</f>
        <v/>
      </c>
      <c r="I48" s="33" t="str">
        <f aca="false">IF(40&gt;COUNT(Accounts!$T$12:$T$311),"",SMALL(Accounts!$T$12:$T$311,40))</f>
        <v/>
      </c>
    </row>
    <row r="49" customFormat="false" ht="15" hidden="false" customHeight="false" outlineLevel="0" collapsed="false">
      <c r="A49" s="22" t="str">
        <f aca="false">IF($I49="","",INDEX(Accounts!$A$12:$A$311,MATCH($I49,Accounts!$T$12:$T$311,0))&amp;"")</f>
        <v/>
      </c>
      <c r="B49" s="30" t="str">
        <f aca="false">IF($I49="","",IF(INDEX(Accounts!$R$12:$R$311,MATCH($I49,Accounts!$T$12:$T$311,0))="Check inputs","—",INDEX(Accounts!$B$12:$B$311,MATCH($I49,Accounts!$T$12:$T$311,0))))</f>
        <v/>
      </c>
      <c r="C49" s="30" t="str">
        <f aca="false">IF($I49="","",IF(INDEX(Accounts!$R$12:$R$311,MATCH($I49,Accounts!$T$12:$T$311,0))="Check inputs","—",INDEX(Accounts!$M$12:$M$311,MATCH($I49,Accounts!$T$12:$T$311,0))))</f>
        <v/>
      </c>
      <c r="D49" s="30" t="str">
        <f aca="false">IF($I49="","",IF(INDEX(Accounts!$R$12:$R$311,MATCH($I49,Accounts!$T$12:$T$311,0))="Check inputs","—",INDEX(Accounts!$N$12:$N$311,MATCH($I49,Accounts!$T$12:$T$311,0))))</f>
        <v/>
      </c>
      <c r="E49" s="31" t="str">
        <f aca="false">IF($I49="","",IF(INDEX(Accounts!$R$12:$R$311,MATCH($I49,Accounts!$T$12:$T$311,0))="Check inputs","—",INDEX(Accounts!$O$12:$O$311,MATCH($I49,Accounts!$T$12:$T$311,0))))</f>
        <v/>
      </c>
      <c r="F49" s="30" t="str">
        <f aca="false">IF($I49="","",IF(INDEX(Accounts!$R$12:$R$311,MATCH($I49,Accounts!$T$12:$T$311,0))="Check inputs","—",INDEX(Accounts!$P$12:$P$311,MATCH($I49,Accounts!$T$12:$T$311,0))))</f>
        <v/>
      </c>
      <c r="G49" s="30" t="str">
        <f aca="false">IF($I49="","",IF(INDEX(Accounts!$R$12:$R$311,MATCH($I49,Accounts!$T$12:$T$311,0))="Check inputs","—",INDEX(Accounts!$Q$12:$Q$311,MATCH($I49,Accounts!$T$12:$T$311,0))))</f>
        <v/>
      </c>
      <c r="H49" s="32" t="str">
        <f aca="false">IF($I49="","",IF(INDEX(Accounts!$R$12:$R$311,MATCH($I49,Accounts!$T$12:$T$311,0))="Check inputs","Check inputs: "&amp;INDEX(Accounts!$S$12:$S$311,MATCH($I49,Accounts!$T$12:$T$311,0)),INDEX(Accounts!$R$12:$R$311,MATCH($I49,Accounts!$T$12:$T$311,0))))</f>
        <v/>
      </c>
      <c r="I49" s="33" t="str">
        <f aca="false">IF(41&gt;COUNT(Accounts!$T$12:$T$311),"",SMALL(Accounts!$T$12:$T$311,41))</f>
        <v/>
      </c>
    </row>
    <row r="50" customFormat="false" ht="15" hidden="false" customHeight="false" outlineLevel="0" collapsed="false">
      <c r="A50" s="22" t="str">
        <f aca="false">IF($I50="","",INDEX(Accounts!$A$12:$A$311,MATCH($I50,Accounts!$T$12:$T$311,0))&amp;"")</f>
        <v/>
      </c>
      <c r="B50" s="30" t="str">
        <f aca="false">IF($I50="","",IF(INDEX(Accounts!$R$12:$R$311,MATCH($I50,Accounts!$T$12:$T$311,0))="Check inputs","—",INDEX(Accounts!$B$12:$B$311,MATCH($I50,Accounts!$T$12:$T$311,0))))</f>
        <v/>
      </c>
      <c r="C50" s="30" t="str">
        <f aca="false">IF($I50="","",IF(INDEX(Accounts!$R$12:$R$311,MATCH($I50,Accounts!$T$12:$T$311,0))="Check inputs","—",INDEX(Accounts!$M$12:$M$311,MATCH($I50,Accounts!$T$12:$T$311,0))))</f>
        <v/>
      </c>
      <c r="D50" s="30" t="str">
        <f aca="false">IF($I50="","",IF(INDEX(Accounts!$R$12:$R$311,MATCH($I50,Accounts!$T$12:$T$311,0))="Check inputs","—",INDEX(Accounts!$N$12:$N$311,MATCH($I50,Accounts!$T$12:$T$311,0))))</f>
        <v/>
      </c>
      <c r="E50" s="31" t="str">
        <f aca="false">IF($I50="","",IF(INDEX(Accounts!$R$12:$R$311,MATCH($I50,Accounts!$T$12:$T$311,0))="Check inputs","—",INDEX(Accounts!$O$12:$O$311,MATCH($I50,Accounts!$T$12:$T$311,0))))</f>
        <v/>
      </c>
      <c r="F50" s="30" t="str">
        <f aca="false">IF($I50="","",IF(INDEX(Accounts!$R$12:$R$311,MATCH($I50,Accounts!$T$12:$T$311,0))="Check inputs","—",INDEX(Accounts!$P$12:$P$311,MATCH($I50,Accounts!$T$12:$T$311,0))))</f>
        <v/>
      </c>
      <c r="G50" s="30" t="str">
        <f aca="false">IF($I50="","",IF(INDEX(Accounts!$R$12:$R$311,MATCH($I50,Accounts!$T$12:$T$311,0))="Check inputs","—",INDEX(Accounts!$Q$12:$Q$311,MATCH($I50,Accounts!$T$12:$T$311,0))))</f>
        <v/>
      </c>
      <c r="H50" s="32" t="str">
        <f aca="false">IF($I50="","",IF(INDEX(Accounts!$R$12:$R$311,MATCH($I50,Accounts!$T$12:$T$311,0))="Check inputs","Check inputs: "&amp;INDEX(Accounts!$S$12:$S$311,MATCH($I50,Accounts!$T$12:$T$311,0)),INDEX(Accounts!$R$12:$R$311,MATCH($I50,Accounts!$T$12:$T$311,0))))</f>
        <v/>
      </c>
      <c r="I50" s="33" t="str">
        <f aca="false">IF(42&gt;COUNT(Accounts!$T$12:$T$311),"",SMALL(Accounts!$T$12:$T$311,42))</f>
        <v/>
      </c>
    </row>
    <row r="51" customFormat="false" ht="15" hidden="false" customHeight="false" outlineLevel="0" collapsed="false">
      <c r="A51" s="22" t="str">
        <f aca="false">IF($I51="","",INDEX(Accounts!$A$12:$A$311,MATCH($I51,Accounts!$T$12:$T$311,0))&amp;"")</f>
        <v/>
      </c>
      <c r="B51" s="30" t="str">
        <f aca="false">IF($I51="","",IF(INDEX(Accounts!$R$12:$R$311,MATCH($I51,Accounts!$T$12:$T$311,0))="Check inputs","—",INDEX(Accounts!$B$12:$B$311,MATCH($I51,Accounts!$T$12:$T$311,0))))</f>
        <v/>
      </c>
      <c r="C51" s="30" t="str">
        <f aca="false">IF($I51="","",IF(INDEX(Accounts!$R$12:$R$311,MATCH($I51,Accounts!$T$12:$T$311,0))="Check inputs","—",INDEX(Accounts!$M$12:$M$311,MATCH($I51,Accounts!$T$12:$T$311,0))))</f>
        <v/>
      </c>
      <c r="D51" s="30" t="str">
        <f aca="false">IF($I51="","",IF(INDEX(Accounts!$R$12:$R$311,MATCH($I51,Accounts!$T$12:$T$311,0))="Check inputs","—",INDEX(Accounts!$N$12:$N$311,MATCH($I51,Accounts!$T$12:$T$311,0))))</f>
        <v/>
      </c>
      <c r="E51" s="31" t="str">
        <f aca="false">IF($I51="","",IF(INDEX(Accounts!$R$12:$R$311,MATCH($I51,Accounts!$T$12:$T$311,0))="Check inputs","—",INDEX(Accounts!$O$12:$O$311,MATCH($I51,Accounts!$T$12:$T$311,0))))</f>
        <v/>
      </c>
      <c r="F51" s="30" t="str">
        <f aca="false">IF($I51="","",IF(INDEX(Accounts!$R$12:$R$311,MATCH($I51,Accounts!$T$12:$T$311,0))="Check inputs","—",INDEX(Accounts!$P$12:$P$311,MATCH($I51,Accounts!$T$12:$T$311,0))))</f>
        <v/>
      </c>
      <c r="G51" s="30" t="str">
        <f aca="false">IF($I51="","",IF(INDEX(Accounts!$R$12:$R$311,MATCH($I51,Accounts!$T$12:$T$311,0))="Check inputs","—",INDEX(Accounts!$Q$12:$Q$311,MATCH($I51,Accounts!$T$12:$T$311,0))))</f>
        <v/>
      </c>
      <c r="H51" s="32" t="str">
        <f aca="false">IF($I51="","",IF(INDEX(Accounts!$R$12:$R$311,MATCH($I51,Accounts!$T$12:$T$311,0))="Check inputs","Check inputs: "&amp;INDEX(Accounts!$S$12:$S$311,MATCH($I51,Accounts!$T$12:$T$311,0)),INDEX(Accounts!$R$12:$R$311,MATCH($I51,Accounts!$T$12:$T$311,0))))</f>
        <v/>
      </c>
      <c r="I51" s="33" t="str">
        <f aca="false">IF(43&gt;COUNT(Accounts!$T$12:$T$311),"",SMALL(Accounts!$T$12:$T$311,43))</f>
        <v/>
      </c>
    </row>
    <row r="52" customFormat="false" ht="15" hidden="false" customHeight="false" outlineLevel="0" collapsed="false">
      <c r="A52" s="22" t="str">
        <f aca="false">IF($I52="","",INDEX(Accounts!$A$12:$A$311,MATCH($I52,Accounts!$T$12:$T$311,0))&amp;"")</f>
        <v/>
      </c>
      <c r="B52" s="30" t="str">
        <f aca="false">IF($I52="","",IF(INDEX(Accounts!$R$12:$R$311,MATCH($I52,Accounts!$T$12:$T$311,0))="Check inputs","—",INDEX(Accounts!$B$12:$B$311,MATCH($I52,Accounts!$T$12:$T$311,0))))</f>
        <v/>
      </c>
      <c r="C52" s="30" t="str">
        <f aca="false">IF($I52="","",IF(INDEX(Accounts!$R$12:$R$311,MATCH($I52,Accounts!$T$12:$T$311,0))="Check inputs","—",INDEX(Accounts!$M$12:$M$311,MATCH($I52,Accounts!$T$12:$T$311,0))))</f>
        <v/>
      </c>
      <c r="D52" s="30" t="str">
        <f aca="false">IF($I52="","",IF(INDEX(Accounts!$R$12:$R$311,MATCH($I52,Accounts!$T$12:$T$311,0))="Check inputs","—",INDEX(Accounts!$N$12:$N$311,MATCH($I52,Accounts!$T$12:$T$311,0))))</f>
        <v/>
      </c>
      <c r="E52" s="31" t="str">
        <f aca="false">IF($I52="","",IF(INDEX(Accounts!$R$12:$R$311,MATCH($I52,Accounts!$T$12:$T$311,0))="Check inputs","—",INDEX(Accounts!$O$12:$O$311,MATCH($I52,Accounts!$T$12:$T$311,0))))</f>
        <v/>
      </c>
      <c r="F52" s="30" t="str">
        <f aca="false">IF($I52="","",IF(INDEX(Accounts!$R$12:$R$311,MATCH($I52,Accounts!$T$12:$T$311,0))="Check inputs","—",INDEX(Accounts!$P$12:$P$311,MATCH($I52,Accounts!$T$12:$T$311,0))))</f>
        <v/>
      </c>
      <c r="G52" s="30" t="str">
        <f aca="false">IF($I52="","",IF(INDEX(Accounts!$R$12:$R$311,MATCH($I52,Accounts!$T$12:$T$311,0))="Check inputs","—",INDEX(Accounts!$Q$12:$Q$311,MATCH($I52,Accounts!$T$12:$T$311,0))))</f>
        <v/>
      </c>
      <c r="H52" s="32" t="str">
        <f aca="false">IF($I52="","",IF(INDEX(Accounts!$R$12:$R$311,MATCH($I52,Accounts!$T$12:$T$311,0))="Check inputs","Check inputs: "&amp;INDEX(Accounts!$S$12:$S$311,MATCH($I52,Accounts!$T$12:$T$311,0)),INDEX(Accounts!$R$12:$R$311,MATCH($I52,Accounts!$T$12:$T$311,0))))</f>
        <v/>
      </c>
      <c r="I52" s="33" t="str">
        <f aca="false">IF(44&gt;COUNT(Accounts!$T$12:$T$311),"",SMALL(Accounts!$T$12:$T$311,44))</f>
        <v/>
      </c>
    </row>
    <row r="53" customFormat="false" ht="15" hidden="false" customHeight="false" outlineLevel="0" collapsed="false">
      <c r="A53" s="22" t="str">
        <f aca="false">IF($I53="","",INDEX(Accounts!$A$12:$A$311,MATCH($I53,Accounts!$T$12:$T$311,0))&amp;"")</f>
        <v/>
      </c>
      <c r="B53" s="30" t="str">
        <f aca="false">IF($I53="","",IF(INDEX(Accounts!$R$12:$R$311,MATCH($I53,Accounts!$T$12:$T$311,0))="Check inputs","—",INDEX(Accounts!$B$12:$B$311,MATCH($I53,Accounts!$T$12:$T$311,0))))</f>
        <v/>
      </c>
      <c r="C53" s="30" t="str">
        <f aca="false">IF($I53="","",IF(INDEX(Accounts!$R$12:$R$311,MATCH($I53,Accounts!$T$12:$T$311,0))="Check inputs","—",INDEX(Accounts!$M$12:$M$311,MATCH($I53,Accounts!$T$12:$T$311,0))))</f>
        <v/>
      </c>
      <c r="D53" s="30" t="str">
        <f aca="false">IF($I53="","",IF(INDEX(Accounts!$R$12:$R$311,MATCH($I53,Accounts!$T$12:$T$311,0))="Check inputs","—",INDEX(Accounts!$N$12:$N$311,MATCH($I53,Accounts!$T$12:$T$311,0))))</f>
        <v/>
      </c>
      <c r="E53" s="31" t="str">
        <f aca="false">IF($I53="","",IF(INDEX(Accounts!$R$12:$R$311,MATCH($I53,Accounts!$T$12:$T$311,0))="Check inputs","—",INDEX(Accounts!$O$12:$O$311,MATCH($I53,Accounts!$T$12:$T$311,0))))</f>
        <v/>
      </c>
      <c r="F53" s="30" t="str">
        <f aca="false">IF($I53="","",IF(INDEX(Accounts!$R$12:$R$311,MATCH($I53,Accounts!$T$12:$T$311,0))="Check inputs","—",INDEX(Accounts!$P$12:$P$311,MATCH($I53,Accounts!$T$12:$T$311,0))))</f>
        <v/>
      </c>
      <c r="G53" s="30" t="str">
        <f aca="false">IF($I53="","",IF(INDEX(Accounts!$R$12:$R$311,MATCH($I53,Accounts!$T$12:$T$311,0))="Check inputs","—",INDEX(Accounts!$Q$12:$Q$311,MATCH($I53,Accounts!$T$12:$T$311,0))))</f>
        <v/>
      </c>
      <c r="H53" s="32" t="str">
        <f aca="false">IF($I53="","",IF(INDEX(Accounts!$R$12:$R$311,MATCH($I53,Accounts!$T$12:$T$311,0))="Check inputs","Check inputs: "&amp;INDEX(Accounts!$S$12:$S$311,MATCH($I53,Accounts!$T$12:$T$311,0)),INDEX(Accounts!$R$12:$R$311,MATCH($I53,Accounts!$T$12:$T$311,0))))</f>
        <v/>
      </c>
      <c r="I53" s="33" t="str">
        <f aca="false">IF(45&gt;COUNT(Accounts!$T$12:$T$311),"",SMALL(Accounts!$T$12:$T$311,45))</f>
        <v/>
      </c>
    </row>
    <row r="54" customFormat="false" ht="15" hidden="false" customHeight="false" outlineLevel="0" collapsed="false">
      <c r="A54" s="22" t="str">
        <f aca="false">IF($I54="","",INDEX(Accounts!$A$12:$A$311,MATCH($I54,Accounts!$T$12:$T$311,0))&amp;"")</f>
        <v/>
      </c>
      <c r="B54" s="30" t="str">
        <f aca="false">IF($I54="","",IF(INDEX(Accounts!$R$12:$R$311,MATCH($I54,Accounts!$T$12:$T$311,0))="Check inputs","—",INDEX(Accounts!$B$12:$B$311,MATCH($I54,Accounts!$T$12:$T$311,0))))</f>
        <v/>
      </c>
      <c r="C54" s="30" t="str">
        <f aca="false">IF($I54="","",IF(INDEX(Accounts!$R$12:$R$311,MATCH($I54,Accounts!$T$12:$T$311,0))="Check inputs","—",INDEX(Accounts!$M$12:$M$311,MATCH($I54,Accounts!$T$12:$T$311,0))))</f>
        <v/>
      </c>
      <c r="D54" s="30" t="str">
        <f aca="false">IF($I54="","",IF(INDEX(Accounts!$R$12:$R$311,MATCH($I54,Accounts!$T$12:$T$311,0))="Check inputs","—",INDEX(Accounts!$N$12:$N$311,MATCH($I54,Accounts!$T$12:$T$311,0))))</f>
        <v/>
      </c>
      <c r="E54" s="31" t="str">
        <f aca="false">IF($I54="","",IF(INDEX(Accounts!$R$12:$R$311,MATCH($I54,Accounts!$T$12:$T$311,0))="Check inputs","—",INDEX(Accounts!$O$12:$O$311,MATCH($I54,Accounts!$T$12:$T$311,0))))</f>
        <v/>
      </c>
      <c r="F54" s="30" t="str">
        <f aca="false">IF($I54="","",IF(INDEX(Accounts!$R$12:$R$311,MATCH($I54,Accounts!$T$12:$T$311,0))="Check inputs","—",INDEX(Accounts!$P$12:$P$311,MATCH($I54,Accounts!$T$12:$T$311,0))))</f>
        <v/>
      </c>
      <c r="G54" s="30" t="str">
        <f aca="false">IF($I54="","",IF(INDEX(Accounts!$R$12:$R$311,MATCH($I54,Accounts!$T$12:$T$311,0))="Check inputs","—",INDEX(Accounts!$Q$12:$Q$311,MATCH($I54,Accounts!$T$12:$T$311,0))))</f>
        <v/>
      </c>
      <c r="H54" s="32" t="str">
        <f aca="false">IF($I54="","",IF(INDEX(Accounts!$R$12:$R$311,MATCH($I54,Accounts!$T$12:$T$311,0))="Check inputs","Check inputs: "&amp;INDEX(Accounts!$S$12:$S$311,MATCH($I54,Accounts!$T$12:$T$311,0)),INDEX(Accounts!$R$12:$R$311,MATCH($I54,Accounts!$T$12:$T$311,0))))</f>
        <v/>
      </c>
      <c r="I54" s="33" t="str">
        <f aca="false">IF(46&gt;COUNT(Accounts!$T$12:$T$311),"",SMALL(Accounts!$T$12:$T$311,46))</f>
        <v/>
      </c>
    </row>
    <row r="55" customFormat="false" ht="15" hidden="false" customHeight="false" outlineLevel="0" collapsed="false">
      <c r="A55" s="22" t="str">
        <f aca="false">IF($I55="","",INDEX(Accounts!$A$12:$A$311,MATCH($I55,Accounts!$T$12:$T$311,0))&amp;"")</f>
        <v/>
      </c>
      <c r="B55" s="30" t="str">
        <f aca="false">IF($I55="","",IF(INDEX(Accounts!$R$12:$R$311,MATCH($I55,Accounts!$T$12:$T$311,0))="Check inputs","—",INDEX(Accounts!$B$12:$B$311,MATCH($I55,Accounts!$T$12:$T$311,0))))</f>
        <v/>
      </c>
      <c r="C55" s="30" t="str">
        <f aca="false">IF($I55="","",IF(INDEX(Accounts!$R$12:$R$311,MATCH($I55,Accounts!$T$12:$T$311,0))="Check inputs","—",INDEX(Accounts!$M$12:$M$311,MATCH($I55,Accounts!$T$12:$T$311,0))))</f>
        <v/>
      </c>
      <c r="D55" s="30" t="str">
        <f aca="false">IF($I55="","",IF(INDEX(Accounts!$R$12:$R$311,MATCH($I55,Accounts!$T$12:$T$311,0))="Check inputs","—",INDEX(Accounts!$N$12:$N$311,MATCH($I55,Accounts!$T$12:$T$311,0))))</f>
        <v/>
      </c>
      <c r="E55" s="31" t="str">
        <f aca="false">IF($I55="","",IF(INDEX(Accounts!$R$12:$R$311,MATCH($I55,Accounts!$T$12:$T$311,0))="Check inputs","—",INDEX(Accounts!$O$12:$O$311,MATCH($I55,Accounts!$T$12:$T$311,0))))</f>
        <v/>
      </c>
      <c r="F55" s="30" t="str">
        <f aca="false">IF($I55="","",IF(INDEX(Accounts!$R$12:$R$311,MATCH($I55,Accounts!$T$12:$T$311,0))="Check inputs","—",INDEX(Accounts!$P$12:$P$311,MATCH($I55,Accounts!$T$12:$T$311,0))))</f>
        <v/>
      </c>
      <c r="G55" s="30" t="str">
        <f aca="false">IF($I55="","",IF(INDEX(Accounts!$R$12:$R$311,MATCH($I55,Accounts!$T$12:$T$311,0))="Check inputs","—",INDEX(Accounts!$Q$12:$Q$311,MATCH($I55,Accounts!$T$12:$T$311,0))))</f>
        <v/>
      </c>
      <c r="H55" s="32" t="str">
        <f aca="false">IF($I55="","",IF(INDEX(Accounts!$R$12:$R$311,MATCH($I55,Accounts!$T$12:$T$311,0))="Check inputs","Check inputs: "&amp;INDEX(Accounts!$S$12:$S$311,MATCH($I55,Accounts!$T$12:$T$311,0)),INDEX(Accounts!$R$12:$R$311,MATCH($I55,Accounts!$T$12:$T$311,0))))</f>
        <v/>
      </c>
      <c r="I55" s="33" t="str">
        <f aca="false">IF(47&gt;COUNT(Accounts!$T$12:$T$311),"",SMALL(Accounts!$T$12:$T$311,47))</f>
        <v/>
      </c>
    </row>
    <row r="56" customFormat="false" ht="15" hidden="false" customHeight="false" outlineLevel="0" collapsed="false">
      <c r="A56" s="22" t="str">
        <f aca="false">IF($I56="","",INDEX(Accounts!$A$12:$A$311,MATCH($I56,Accounts!$T$12:$T$311,0))&amp;"")</f>
        <v/>
      </c>
      <c r="B56" s="30" t="str">
        <f aca="false">IF($I56="","",IF(INDEX(Accounts!$R$12:$R$311,MATCH($I56,Accounts!$T$12:$T$311,0))="Check inputs","—",INDEX(Accounts!$B$12:$B$311,MATCH($I56,Accounts!$T$12:$T$311,0))))</f>
        <v/>
      </c>
      <c r="C56" s="30" t="str">
        <f aca="false">IF($I56="","",IF(INDEX(Accounts!$R$12:$R$311,MATCH($I56,Accounts!$T$12:$T$311,0))="Check inputs","—",INDEX(Accounts!$M$12:$M$311,MATCH($I56,Accounts!$T$12:$T$311,0))))</f>
        <v/>
      </c>
      <c r="D56" s="30" t="str">
        <f aca="false">IF($I56="","",IF(INDEX(Accounts!$R$12:$R$311,MATCH($I56,Accounts!$T$12:$T$311,0))="Check inputs","—",INDEX(Accounts!$N$12:$N$311,MATCH($I56,Accounts!$T$12:$T$311,0))))</f>
        <v/>
      </c>
      <c r="E56" s="31" t="str">
        <f aca="false">IF($I56="","",IF(INDEX(Accounts!$R$12:$R$311,MATCH($I56,Accounts!$T$12:$T$311,0))="Check inputs","—",INDEX(Accounts!$O$12:$O$311,MATCH($I56,Accounts!$T$12:$T$311,0))))</f>
        <v/>
      </c>
      <c r="F56" s="30" t="str">
        <f aca="false">IF($I56="","",IF(INDEX(Accounts!$R$12:$R$311,MATCH($I56,Accounts!$T$12:$T$311,0))="Check inputs","—",INDEX(Accounts!$P$12:$P$311,MATCH($I56,Accounts!$T$12:$T$311,0))))</f>
        <v/>
      </c>
      <c r="G56" s="30" t="str">
        <f aca="false">IF($I56="","",IF(INDEX(Accounts!$R$12:$R$311,MATCH($I56,Accounts!$T$12:$T$311,0))="Check inputs","—",INDEX(Accounts!$Q$12:$Q$311,MATCH($I56,Accounts!$T$12:$T$311,0))))</f>
        <v/>
      </c>
      <c r="H56" s="32" t="str">
        <f aca="false">IF($I56="","",IF(INDEX(Accounts!$R$12:$R$311,MATCH($I56,Accounts!$T$12:$T$311,0))="Check inputs","Check inputs: "&amp;INDEX(Accounts!$S$12:$S$311,MATCH($I56,Accounts!$T$12:$T$311,0)),INDEX(Accounts!$R$12:$R$311,MATCH($I56,Accounts!$T$12:$T$311,0))))</f>
        <v/>
      </c>
      <c r="I56" s="33" t="str">
        <f aca="false">IF(48&gt;COUNT(Accounts!$T$12:$T$311),"",SMALL(Accounts!$T$12:$T$311,48))</f>
        <v/>
      </c>
    </row>
    <row r="57" customFormat="false" ht="15" hidden="false" customHeight="false" outlineLevel="0" collapsed="false">
      <c r="A57" s="22" t="str">
        <f aca="false">IF($I57="","",INDEX(Accounts!$A$12:$A$311,MATCH($I57,Accounts!$T$12:$T$311,0))&amp;"")</f>
        <v/>
      </c>
      <c r="B57" s="30" t="str">
        <f aca="false">IF($I57="","",IF(INDEX(Accounts!$R$12:$R$311,MATCH($I57,Accounts!$T$12:$T$311,0))="Check inputs","—",INDEX(Accounts!$B$12:$B$311,MATCH($I57,Accounts!$T$12:$T$311,0))))</f>
        <v/>
      </c>
      <c r="C57" s="30" t="str">
        <f aca="false">IF($I57="","",IF(INDEX(Accounts!$R$12:$R$311,MATCH($I57,Accounts!$T$12:$T$311,0))="Check inputs","—",INDEX(Accounts!$M$12:$M$311,MATCH($I57,Accounts!$T$12:$T$311,0))))</f>
        <v/>
      </c>
      <c r="D57" s="30" t="str">
        <f aca="false">IF($I57="","",IF(INDEX(Accounts!$R$12:$R$311,MATCH($I57,Accounts!$T$12:$T$311,0))="Check inputs","—",INDEX(Accounts!$N$12:$N$311,MATCH($I57,Accounts!$T$12:$T$311,0))))</f>
        <v/>
      </c>
      <c r="E57" s="31" t="str">
        <f aca="false">IF($I57="","",IF(INDEX(Accounts!$R$12:$R$311,MATCH($I57,Accounts!$T$12:$T$311,0))="Check inputs","—",INDEX(Accounts!$O$12:$O$311,MATCH($I57,Accounts!$T$12:$T$311,0))))</f>
        <v/>
      </c>
      <c r="F57" s="30" t="str">
        <f aca="false">IF($I57="","",IF(INDEX(Accounts!$R$12:$R$311,MATCH($I57,Accounts!$T$12:$T$311,0))="Check inputs","—",INDEX(Accounts!$P$12:$P$311,MATCH($I57,Accounts!$T$12:$T$311,0))))</f>
        <v/>
      </c>
      <c r="G57" s="30" t="str">
        <f aca="false">IF($I57="","",IF(INDEX(Accounts!$R$12:$R$311,MATCH($I57,Accounts!$T$12:$T$311,0))="Check inputs","—",INDEX(Accounts!$Q$12:$Q$311,MATCH($I57,Accounts!$T$12:$T$311,0))))</f>
        <v/>
      </c>
      <c r="H57" s="32" t="str">
        <f aca="false">IF($I57="","",IF(INDEX(Accounts!$R$12:$R$311,MATCH($I57,Accounts!$T$12:$T$311,0))="Check inputs","Check inputs: "&amp;INDEX(Accounts!$S$12:$S$311,MATCH($I57,Accounts!$T$12:$T$311,0)),INDEX(Accounts!$R$12:$R$311,MATCH($I57,Accounts!$T$12:$T$311,0))))</f>
        <v/>
      </c>
      <c r="I57" s="33" t="str">
        <f aca="false">IF(49&gt;COUNT(Accounts!$T$12:$T$311),"",SMALL(Accounts!$T$12:$T$311,49))</f>
        <v/>
      </c>
    </row>
    <row r="58" customFormat="false" ht="15" hidden="false" customHeight="false" outlineLevel="0" collapsed="false">
      <c r="A58" s="22" t="str">
        <f aca="false">IF($I58="","",INDEX(Accounts!$A$12:$A$311,MATCH($I58,Accounts!$T$12:$T$311,0))&amp;"")</f>
        <v/>
      </c>
      <c r="B58" s="30" t="str">
        <f aca="false">IF($I58="","",IF(INDEX(Accounts!$R$12:$R$311,MATCH($I58,Accounts!$T$12:$T$311,0))="Check inputs","—",INDEX(Accounts!$B$12:$B$311,MATCH($I58,Accounts!$T$12:$T$311,0))))</f>
        <v/>
      </c>
      <c r="C58" s="30" t="str">
        <f aca="false">IF($I58="","",IF(INDEX(Accounts!$R$12:$R$311,MATCH($I58,Accounts!$T$12:$T$311,0))="Check inputs","—",INDEX(Accounts!$M$12:$M$311,MATCH($I58,Accounts!$T$12:$T$311,0))))</f>
        <v/>
      </c>
      <c r="D58" s="30" t="str">
        <f aca="false">IF($I58="","",IF(INDEX(Accounts!$R$12:$R$311,MATCH($I58,Accounts!$T$12:$T$311,0))="Check inputs","—",INDEX(Accounts!$N$12:$N$311,MATCH($I58,Accounts!$T$12:$T$311,0))))</f>
        <v/>
      </c>
      <c r="E58" s="31" t="str">
        <f aca="false">IF($I58="","",IF(INDEX(Accounts!$R$12:$R$311,MATCH($I58,Accounts!$T$12:$T$311,0))="Check inputs","—",INDEX(Accounts!$O$12:$O$311,MATCH($I58,Accounts!$T$12:$T$311,0))))</f>
        <v/>
      </c>
      <c r="F58" s="30" t="str">
        <f aca="false">IF($I58="","",IF(INDEX(Accounts!$R$12:$R$311,MATCH($I58,Accounts!$T$12:$T$311,0))="Check inputs","—",INDEX(Accounts!$P$12:$P$311,MATCH($I58,Accounts!$T$12:$T$311,0))))</f>
        <v/>
      </c>
      <c r="G58" s="30" t="str">
        <f aca="false">IF($I58="","",IF(INDEX(Accounts!$R$12:$R$311,MATCH($I58,Accounts!$T$12:$T$311,0))="Check inputs","—",INDEX(Accounts!$Q$12:$Q$311,MATCH($I58,Accounts!$T$12:$T$311,0))))</f>
        <v/>
      </c>
      <c r="H58" s="32" t="str">
        <f aca="false">IF($I58="","",IF(INDEX(Accounts!$R$12:$R$311,MATCH($I58,Accounts!$T$12:$T$311,0))="Check inputs","Check inputs: "&amp;INDEX(Accounts!$S$12:$S$311,MATCH($I58,Accounts!$T$12:$T$311,0)),INDEX(Accounts!$R$12:$R$311,MATCH($I58,Accounts!$T$12:$T$311,0))))</f>
        <v/>
      </c>
      <c r="I58" s="33" t="str">
        <f aca="false">IF(50&gt;COUNT(Accounts!$T$12:$T$311),"",SMALL(Accounts!$T$12:$T$311,50))</f>
        <v/>
      </c>
    </row>
    <row r="59" customFormat="false" ht="15" hidden="false" customHeight="false" outlineLevel="0" collapsed="false">
      <c r="A59" s="22" t="str">
        <f aca="false">IF($I59="","",INDEX(Accounts!$A$12:$A$311,MATCH($I59,Accounts!$T$12:$T$311,0))&amp;"")</f>
        <v/>
      </c>
      <c r="B59" s="30" t="str">
        <f aca="false">IF($I59="","",IF(INDEX(Accounts!$R$12:$R$311,MATCH($I59,Accounts!$T$12:$T$311,0))="Check inputs","—",INDEX(Accounts!$B$12:$B$311,MATCH($I59,Accounts!$T$12:$T$311,0))))</f>
        <v/>
      </c>
      <c r="C59" s="30" t="str">
        <f aca="false">IF($I59="","",IF(INDEX(Accounts!$R$12:$R$311,MATCH($I59,Accounts!$T$12:$T$311,0))="Check inputs","—",INDEX(Accounts!$M$12:$M$311,MATCH($I59,Accounts!$T$12:$T$311,0))))</f>
        <v/>
      </c>
      <c r="D59" s="30" t="str">
        <f aca="false">IF($I59="","",IF(INDEX(Accounts!$R$12:$R$311,MATCH($I59,Accounts!$T$12:$T$311,0))="Check inputs","—",INDEX(Accounts!$N$12:$N$311,MATCH($I59,Accounts!$T$12:$T$311,0))))</f>
        <v/>
      </c>
      <c r="E59" s="31" t="str">
        <f aca="false">IF($I59="","",IF(INDEX(Accounts!$R$12:$R$311,MATCH($I59,Accounts!$T$12:$T$311,0))="Check inputs","—",INDEX(Accounts!$O$12:$O$311,MATCH($I59,Accounts!$T$12:$T$311,0))))</f>
        <v/>
      </c>
      <c r="F59" s="30" t="str">
        <f aca="false">IF($I59="","",IF(INDEX(Accounts!$R$12:$R$311,MATCH($I59,Accounts!$T$12:$T$311,0))="Check inputs","—",INDEX(Accounts!$P$12:$P$311,MATCH($I59,Accounts!$T$12:$T$311,0))))</f>
        <v/>
      </c>
      <c r="G59" s="30" t="str">
        <f aca="false">IF($I59="","",IF(INDEX(Accounts!$R$12:$R$311,MATCH($I59,Accounts!$T$12:$T$311,0))="Check inputs","—",INDEX(Accounts!$Q$12:$Q$311,MATCH($I59,Accounts!$T$12:$T$311,0))))</f>
        <v/>
      </c>
      <c r="H59" s="32" t="str">
        <f aca="false">IF($I59="","",IF(INDEX(Accounts!$R$12:$R$311,MATCH($I59,Accounts!$T$12:$T$311,0))="Check inputs","Check inputs: "&amp;INDEX(Accounts!$S$12:$S$311,MATCH($I59,Accounts!$T$12:$T$311,0)),INDEX(Accounts!$R$12:$R$311,MATCH($I59,Accounts!$T$12:$T$311,0))))</f>
        <v/>
      </c>
      <c r="I59" s="33" t="str">
        <f aca="false">IF(51&gt;COUNT(Accounts!$T$12:$T$311),"",SMALL(Accounts!$T$12:$T$311,51))</f>
        <v/>
      </c>
    </row>
    <row r="60" customFormat="false" ht="15" hidden="false" customHeight="false" outlineLevel="0" collapsed="false">
      <c r="A60" s="22" t="str">
        <f aca="false">IF($I60="","",INDEX(Accounts!$A$12:$A$311,MATCH($I60,Accounts!$T$12:$T$311,0))&amp;"")</f>
        <v/>
      </c>
      <c r="B60" s="30" t="str">
        <f aca="false">IF($I60="","",IF(INDEX(Accounts!$R$12:$R$311,MATCH($I60,Accounts!$T$12:$T$311,0))="Check inputs","—",INDEX(Accounts!$B$12:$B$311,MATCH($I60,Accounts!$T$12:$T$311,0))))</f>
        <v/>
      </c>
      <c r="C60" s="30" t="str">
        <f aca="false">IF($I60="","",IF(INDEX(Accounts!$R$12:$R$311,MATCH($I60,Accounts!$T$12:$T$311,0))="Check inputs","—",INDEX(Accounts!$M$12:$M$311,MATCH($I60,Accounts!$T$12:$T$311,0))))</f>
        <v/>
      </c>
      <c r="D60" s="30" t="str">
        <f aca="false">IF($I60="","",IF(INDEX(Accounts!$R$12:$R$311,MATCH($I60,Accounts!$T$12:$T$311,0))="Check inputs","—",INDEX(Accounts!$N$12:$N$311,MATCH($I60,Accounts!$T$12:$T$311,0))))</f>
        <v/>
      </c>
      <c r="E60" s="31" t="str">
        <f aca="false">IF($I60="","",IF(INDEX(Accounts!$R$12:$R$311,MATCH($I60,Accounts!$T$12:$T$311,0))="Check inputs","—",INDEX(Accounts!$O$12:$O$311,MATCH($I60,Accounts!$T$12:$T$311,0))))</f>
        <v/>
      </c>
      <c r="F60" s="30" t="str">
        <f aca="false">IF($I60="","",IF(INDEX(Accounts!$R$12:$R$311,MATCH($I60,Accounts!$T$12:$T$311,0))="Check inputs","—",INDEX(Accounts!$P$12:$P$311,MATCH($I60,Accounts!$T$12:$T$311,0))))</f>
        <v/>
      </c>
      <c r="G60" s="30" t="str">
        <f aca="false">IF($I60="","",IF(INDEX(Accounts!$R$12:$R$311,MATCH($I60,Accounts!$T$12:$T$311,0))="Check inputs","—",INDEX(Accounts!$Q$12:$Q$311,MATCH($I60,Accounts!$T$12:$T$311,0))))</f>
        <v/>
      </c>
      <c r="H60" s="32" t="str">
        <f aca="false">IF($I60="","",IF(INDEX(Accounts!$R$12:$R$311,MATCH($I60,Accounts!$T$12:$T$311,0))="Check inputs","Check inputs: "&amp;INDEX(Accounts!$S$12:$S$311,MATCH($I60,Accounts!$T$12:$T$311,0)),INDEX(Accounts!$R$12:$R$311,MATCH($I60,Accounts!$T$12:$T$311,0))))</f>
        <v/>
      </c>
      <c r="I60" s="33" t="str">
        <f aca="false">IF(52&gt;COUNT(Accounts!$T$12:$T$311),"",SMALL(Accounts!$T$12:$T$311,52))</f>
        <v/>
      </c>
    </row>
    <row r="61" customFormat="false" ht="15" hidden="false" customHeight="false" outlineLevel="0" collapsed="false">
      <c r="A61" s="22" t="str">
        <f aca="false">IF($I61="","",INDEX(Accounts!$A$12:$A$311,MATCH($I61,Accounts!$T$12:$T$311,0))&amp;"")</f>
        <v/>
      </c>
      <c r="B61" s="30" t="str">
        <f aca="false">IF($I61="","",IF(INDEX(Accounts!$R$12:$R$311,MATCH($I61,Accounts!$T$12:$T$311,0))="Check inputs","—",INDEX(Accounts!$B$12:$B$311,MATCH($I61,Accounts!$T$12:$T$311,0))))</f>
        <v/>
      </c>
      <c r="C61" s="30" t="str">
        <f aca="false">IF($I61="","",IF(INDEX(Accounts!$R$12:$R$311,MATCH($I61,Accounts!$T$12:$T$311,0))="Check inputs","—",INDEX(Accounts!$M$12:$M$311,MATCH($I61,Accounts!$T$12:$T$311,0))))</f>
        <v/>
      </c>
      <c r="D61" s="30" t="str">
        <f aca="false">IF($I61="","",IF(INDEX(Accounts!$R$12:$R$311,MATCH($I61,Accounts!$T$12:$T$311,0))="Check inputs","—",INDEX(Accounts!$N$12:$N$311,MATCH($I61,Accounts!$T$12:$T$311,0))))</f>
        <v/>
      </c>
      <c r="E61" s="31" t="str">
        <f aca="false">IF($I61="","",IF(INDEX(Accounts!$R$12:$R$311,MATCH($I61,Accounts!$T$12:$T$311,0))="Check inputs","—",INDEX(Accounts!$O$12:$O$311,MATCH($I61,Accounts!$T$12:$T$311,0))))</f>
        <v/>
      </c>
      <c r="F61" s="30" t="str">
        <f aca="false">IF($I61="","",IF(INDEX(Accounts!$R$12:$R$311,MATCH($I61,Accounts!$T$12:$T$311,0))="Check inputs","—",INDEX(Accounts!$P$12:$P$311,MATCH($I61,Accounts!$T$12:$T$311,0))))</f>
        <v/>
      </c>
      <c r="G61" s="30" t="str">
        <f aca="false">IF($I61="","",IF(INDEX(Accounts!$R$12:$R$311,MATCH($I61,Accounts!$T$12:$T$311,0))="Check inputs","—",INDEX(Accounts!$Q$12:$Q$311,MATCH($I61,Accounts!$T$12:$T$311,0))))</f>
        <v/>
      </c>
      <c r="H61" s="32" t="str">
        <f aca="false">IF($I61="","",IF(INDEX(Accounts!$R$12:$R$311,MATCH($I61,Accounts!$T$12:$T$311,0))="Check inputs","Check inputs: "&amp;INDEX(Accounts!$S$12:$S$311,MATCH($I61,Accounts!$T$12:$T$311,0)),INDEX(Accounts!$R$12:$R$311,MATCH($I61,Accounts!$T$12:$T$311,0))))</f>
        <v/>
      </c>
      <c r="I61" s="33" t="str">
        <f aca="false">IF(53&gt;COUNT(Accounts!$T$12:$T$311),"",SMALL(Accounts!$T$12:$T$311,53))</f>
        <v/>
      </c>
    </row>
    <row r="62" customFormat="false" ht="15" hidden="false" customHeight="false" outlineLevel="0" collapsed="false">
      <c r="A62" s="22" t="str">
        <f aca="false">IF($I62="","",INDEX(Accounts!$A$12:$A$311,MATCH($I62,Accounts!$T$12:$T$311,0))&amp;"")</f>
        <v/>
      </c>
      <c r="B62" s="30" t="str">
        <f aca="false">IF($I62="","",IF(INDEX(Accounts!$R$12:$R$311,MATCH($I62,Accounts!$T$12:$T$311,0))="Check inputs","—",INDEX(Accounts!$B$12:$B$311,MATCH($I62,Accounts!$T$12:$T$311,0))))</f>
        <v/>
      </c>
      <c r="C62" s="30" t="str">
        <f aca="false">IF($I62="","",IF(INDEX(Accounts!$R$12:$R$311,MATCH($I62,Accounts!$T$12:$T$311,0))="Check inputs","—",INDEX(Accounts!$M$12:$M$311,MATCH($I62,Accounts!$T$12:$T$311,0))))</f>
        <v/>
      </c>
      <c r="D62" s="30" t="str">
        <f aca="false">IF($I62="","",IF(INDEX(Accounts!$R$12:$R$311,MATCH($I62,Accounts!$T$12:$T$311,0))="Check inputs","—",INDEX(Accounts!$N$12:$N$311,MATCH($I62,Accounts!$T$12:$T$311,0))))</f>
        <v/>
      </c>
      <c r="E62" s="31" t="str">
        <f aca="false">IF($I62="","",IF(INDEX(Accounts!$R$12:$R$311,MATCH($I62,Accounts!$T$12:$T$311,0))="Check inputs","—",INDEX(Accounts!$O$12:$O$311,MATCH($I62,Accounts!$T$12:$T$311,0))))</f>
        <v/>
      </c>
      <c r="F62" s="30" t="str">
        <f aca="false">IF($I62="","",IF(INDEX(Accounts!$R$12:$R$311,MATCH($I62,Accounts!$T$12:$T$311,0))="Check inputs","—",INDEX(Accounts!$P$12:$P$311,MATCH($I62,Accounts!$T$12:$T$311,0))))</f>
        <v/>
      </c>
      <c r="G62" s="30" t="str">
        <f aca="false">IF($I62="","",IF(INDEX(Accounts!$R$12:$R$311,MATCH($I62,Accounts!$T$12:$T$311,0))="Check inputs","—",INDEX(Accounts!$Q$12:$Q$311,MATCH($I62,Accounts!$T$12:$T$311,0))))</f>
        <v/>
      </c>
      <c r="H62" s="32" t="str">
        <f aca="false">IF($I62="","",IF(INDEX(Accounts!$R$12:$R$311,MATCH($I62,Accounts!$T$12:$T$311,0))="Check inputs","Check inputs: "&amp;INDEX(Accounts!$S$12:$S$311,MATCH($I62,Accounts!$T$12:$T$311,0)),INDEX(Accounts!$R$12:$R$311,MATCH($I62,Accounts!$T$12:$T$311,0))))</f>
        <v/>
      </c>
      <c r="I62" s="33" t="str">
        <f aca="false">IF(54&gt;COUNT(Accounts!$T$12:$T$311),"",SMALL(Accounts!$T$12:$T$311,54))</f>
        <v/>
      </c>
    </row>
    <row r="63" customFormat="false" ht="15" hidden="false" customHeight="false" outlineLevel="0" collapsed="false">
      <c r="A63" s="22" t="str">
        <f aca="false">IF($I63="","",INDEX(Accounts!$A$12:$A$311,MATCH($I63,Accounts!$T$12:$T$311,0))&amp;"")</f>
        <v/>
      </c>
      <c r="B63" s="30" t="str">
        <f aca="false">IF($I63="","",IF(INDEX(Accounts!$R$12:$R$311,MATCH($I63,Accounts!$T$12:$T$311,0))="Check inputs","—",INDEX(Accounts!$B$12:$B$311,MATCH($I63,Accounts!$T$12:$T$311,0))))</f>
        <v/>
      </c>
      <c r="C63" s="30" t="str">
        <f aca="false">IF($I63="","",IF(INDEX(Accounts!$R$12:$R$311,MATCH($I63,Accounts!$T$12:$T$311,0))="Check inputs","—",INDEX(Accounts!$M$12:$M$311,MATCH($I63,Accounts!$T$12:$T$311,0))))</f>
        <v/>
      </c>
      <c r="D63" s="30" t="str">
        <f aca="false">IF($I63="","",IF(INDEX(Accounts!$R$12:$R$311,MATCH($I63,Accounts!$T$12:$T$311,0))="Check inputs","—",INDEX(Accounts!$N$12:$N$311,MATCH($I63,Accounts!$T$12:$T$311,0))))</f>
        <v/>
      </c>
      <c r="E63" s="31" t="str">
        <f aca="false">IF($I63="","",IF(INDEX(Accounts!$R$12:$R$311,MATCH($I63,Accounts!$T$12:$T$311,0))="Check inputs","—",INDEX(Accounts!$O$12:$O$311,MATCH($I63,Accounts!$T$12:$T$311,0))))</f>
        <v/>
      </c>
      <c r="F63" s="30" t="str">
        <f aca="false">IF($I63="","",IF(INDEX(Accounts!$R$12:$R$311,MATCH($I63,Accounts!$T$12:$T$311,0))="Check inputs","—",INDEX(Accounts!$P$12:$P$311,MATCH($I63,Accounts!$T$12:$T$311,0))))</f>
        <v/>
      </c>
      <c r="G63" s="30" t="str">
        <f aca="false">IF($I63="","",IF(INDEX(Accounts!$R$12:$R$311,MATCH($I63,Accounts!$T$12:$T$311,0))="Check inputs","—",INDEX(Accounts!$Q$12:$Q$311,MATCH($I63,Accounts!$T$12:$T$311,0))))</f>
        <v/>
      </c>
      <c r="H63" s="32" t="str">
        <f aca="false">IF($I63="","",IF(INDEX(Accounts!$R$12:$R$311,MATCH($I63,Accounts!$T$12:$T$311,0))="Check inputs","Check inputs: "&amp;INDEX(Accounts!$S$12:$S$311,MATCH($I63,Accounts!$T$12:$T$311,0)),INDEX(Accounts!$R$12:$R$311,MATCH($I63,Accounts!$T$12:$T$311,0))))</f>
        <v/>
      </c>
      <c r="I63" s="33" t="str">
        <f aca="false">IF(55&gt;COUNT(Accounts!$T$12:$T$311),"",SMALL(Accounts!$T$12:$T$311,55))</f>
        <v/>
      </c>
    </row>
    <row r="64" customFormat="false" ht="15" hidden="false" customHeight="false" outlineLevel="0" collapsed="false">
      <c r="A64" s="22" t="str">
        <f aca="false">IF($I64="","",INDEX(Accounts!$A$12:$A$311,MATCH($I64,Accounts!$T$12:$T$311,0))&amp;"")</f>
        <v/>
      </c>
      <c r="B64" s="30" t="str">
        <f aca="false">IF($I64="","",IF(INDEX(Accounts!$R$12:$R$311,MATCH($I64,Accounts!$T$12:$T$311,0))="Check inputs","—",INDEX(Accounts!$B$12:$B$311,MATCH($I64,Accounts!$T$12:$T$311,0))))</f>
        <v/>
      </c>
      <c r="C64" s="30" t="str">
        <f aca="false">IF($I64="","",IF(INDEX(Accounts!$R$12:$R$311,MATCH($I64,Accounts!$T$12:$T$311,0))="Check inputs","—",INDEX(Accounts!$M$12:$M$311,MATCH($I64,Accounts!$T$12:$T$311,0))))</f>
        <v/>
      </c>
      <c r="D64" s="30" t="str">
        <f aca="false">IF($I64="","",IF(INDEX(Accounts!$R$12:$R$311,MATCH($I64,Accounts!$T$12:$T$311,0))="Check inputs","—",INDEX(Accounts!$N$12:$N$311,MATCH($I64,Accounts!$T$12:$T$311,0))))</f>
        <v/>
      </c>
      <c r="E64" s="31" t="str">
        <f aca="false">IF($I64="","",IF(INDEX(Accounts!$R$12:$R$311,MATCH($I64,Accounts!$T$12:$T$311,0))="Check inputs","—",INDEX(Accounts!$O$12:$O$311,MATCH($I64,Accounts!$T$12:$T$311,0))))</f>
        <v/>
      </c>
      <c r="F64" s="30" t="str">
        <f aca="false">IF($I64="","",IF(INDEX(Accounts!$R$12:$R$311,MATCH($I64,Accounts!$T$12:$T$311,0))="Check inputs","—",INDEX(Accounts!$P$12:$P$311,MATCH($I64,Accounts!$T$12:$T$311,0))))</f>
        <v/>
      </c>
      <c r="G64" s="30" t="str">
        <f aca="false">IF($I64="","",IF(INDEX(Accounts!$R$12:$R$311,MATCH($I64,Accounts!$T$12:$T$311,0))="Check inputs","—",INDEX(Accounts!$Q$12:$Q$311,MATCH($I64,Accounts!$T$12:$T$311,0))))</f>
        <v/>
      </c>
      <c r="H64" s="32" t="str">
        <f aca="false">IF($I64="","",IF(INDEX(Accounts!$R$12:$R$311,MATCH($I64,Accounts!$T$12:$T$311,0))="Check inputs","Check inputs: "&amp;INDEX(Accounts!$S$12:$S$311,MATCH($I64,Accounts!$T$12:$T$311,0)),INDEX(Accounts!$R$12:$R$311,MATCH($I64,Accounts!$T$12:$T$311,0))))</f>
        <v/>
      </c>
      <c r="I64" s="33" t="str">
        <f aca="false">IF(56&gt;COUNT(Accounts!$T$12:$T$311),"",SMALL(Accounts!$T$12:$T$311,56))</f>
        <v/>
      </c>
    </row>
    <row r="65" customFormat="false" ht="15" hidden="false" customHeight="false" outlineLevel="0" collapsed="false">
      <c r="A65" s="22" t="str">
        <f aca="false">IF($I65="","",INDEX(Accounts!$A$12:$A$311,MATCH($I65,Accounts!$T$12:$T$311,0))&amp;"")</f>
        <v/>
      </c>
      <c r="B65" s="30" t="str">
        <f aca="false">IF($I65="","",IF(INDEX(Accounts!$R$12:$R$311,MATCH($I65,Accounts!$T$12:$T$311,0))="Check inputs","—",INDEX(Accounts!$B$12:$B$311,MATCH($I65,Accounts!$T$12:$T$311,0))))</f>
        <v/>
      </c>
      <c r="C65" s="30" t="str">
        <f aca="false">IF($I65="","",IF(INDEX(Accounts!$R$12:$R$311,MATCH($I65,Accounts!$T$12:$T$311,0))="Check inputs","—",INDEX(Accounts!$M$12:$M$311,MATCH($I65,Accounts!$T$12:$T$311,0))))</f>
        <v/>
      </c>
      <c r="D65" s="30" t="str">
        <f aca="false">IF($I65="","",IF(INDEX(Accounts!$R$12:$R$311,MATCH($I65,Accounts!$T$12:$T$311,0))="Check inputs","—",INDEX(Accounts!$N$12:$N$311,MATCH($I65,Accounts!$T$12:$T$311,0))))</f>
        <v/>
      </c>
      <c r="E65" s="31" t="str">
        <f aca="false">IF($I65="","",IF(INDEX(Accounts!$R$12:$R$311,MATCH($I65,Accounts!$T$12:$T$311,0))="Check inputs","—",INDEX(Accounts!$O$12:$O$311,MATCH($I65,Accounts!$T$12:$T$311,0))))</f>
        <v/>
      </c>
      <c r="F65" s="30" t="str">
        <f aca="false">IF($I65="","",IF(INDEX(Accounts!$R$12:$R$311,MATCH($I65,Accounts!$T$12:$T$311,0))="Check inputs","—",INDEX(Accounts!$P$12:$P$311,MATCH($I65,Accounts!$T$12:$T$311,0))))</f>
        <v/>
      </c>
      <c r="G65" s="30" t="str">
        <f aca="false">IF($I65="","",IF(INDEX(Accounts!$R$12:$R$311,MATCH($I65,Accounts!$T$12:$T$311,0))="Check inputs","—",INDEX(Accounts!$Q$12:$Q$311,MATCH($I65,Accounts!$T$12:$T$311,0))))</f>
        <v/>
      </c>
      <c r="H65" s="32" t="str">
        <f aca="false">IF($I65="","",IF(INDEX(Accounts!$R$12:$R$311,MATCH($I65,Accounts!$T$12:$T$311,0))="Check inputs","Check inputs: "&amp;INDEX(Accounts!$S$12:$S$311,MATCH($I65,Accounts!$T$12:$T$311,0)),INDEX(Accounts!$R$12:$R$311,MATCH($I65,Accounts!$T$12:$T$311,0))))</f>
        <v/>
      </c>
      <c r="I65" s="33" t="str">
        <f aca="false">IF(57&gt;COUNT(Accounts!$T$12:$T$311),"",SMALL(Accounts!$T$12:$T$311,57))</f>
        <v/>
      </c>
    </row>
    <row r="66" customFormat="false" ht="15" hidden="false" customHeight="false" outlineLevel="0" collapsed="false">
      <c r="A66" s="22" t="str">
        <f aca="false">IF($I66="","",INDEX(Accounts!$A$12:$A$311,MATCH($I66,Accounts!$T$12:$T$311,0))&amp;"")</f>
        <v/>
      </c>
      <c r="B66" s="30" t="str">
        <f aca="false">IF($I66="","",IF(INDEX(Accounts!$R$12:$R$311,MATCH($I66,Accounts!$T$12:$T$311,0))="Check inputs","—",INDEX(Accounts!$B$12:$B$311,MATCH($I66,Accounts!$T$12:$T$311,0))))</f>
        <v/>
      </c>
      <c r="C66" s="30" t="str">
        <f aca="false">IF($I66="","",IF(INDEX(Accounts!$R$12:$R$311,MATCH($I66,Accounts!$T$12:$T$311,0))="Check inputs","—",INDEX(Accounts!$M$12:$M$311,MATCH($I66,Accounts!$T$12:$T$311,0))))</f>
        <v/>
      </c>
      <c r="D66" s="30" t="str">
        <f aca="false">IF($I66="","",IF(INDEX(Accounts!$R$12:$R$311,MATCH($I66,Accounts!$T$12:$T$311,0))="Check inputs","—",INDEX(Accounts!$N$12:$N$311,MATCH($I66,Accounts!$T$12:$T$311,0))))</f>
        <v/>
      </c>
      <c r="E66" s="31" t="str">
        <f aca="false">IF($I66="","",IF(INDEX(Accounts!$R$12:$R$311,MATCH($I66,Accounts!$T$12:$T$311,0))="Check inputs","—",INDEX(Accounts!$O$12:$O$311,MATCH($I66,Accounts!$T$12:$T$311,0))))</f>
        <v/>
      </c>
      <c r="F66" s="30" t="str">
        <f aca="false">IF($I66="","",IF(INDEX(Accounts!$R$12:$R$311,MATCH($I66,Accounts!$T$12:$T$311,0))="Check inputs","—",INDEX(Accounts!$P$12:$P$311,MATCH($I66,Accounts!$T$12:$T$311,0))))</f>
        <v/>
      </c>
      <c r="G66" s="30" t="str">
        <f aca="false">IF($I66="","",IF(INDEX(Accounts!$R$12:$R$311,MATCH($I66,Accounts!$T$12:$T$311,0))="Check inputs","—",INDEX(Accounts!$Q$12:$Q$311,MATCH($I66,Accounts!$T$12:$T$311,0))))</f>
        <v/>
      </c>
      <c r="H66" s="32" t="str">
        <f aca="false">IF($I66="","",IF(INDEX(Accounts!$R$12:$R$311,MATCH($I66,Accounts!$T$12:$T$311,0))="Check inputs","Check inputs: "&amp;INDEX(Accounts!$S$12:$S$311,MATCH($I66,Accounts!$T$12:$T$311,0)),INDEX(Accounts!$R$12:$R$311,MATCH($I66,Accounts!$T$12:$T$311,0))))</f>
        <v/>
      </c>
      <c r="I66" s="33" t="str">
        <f aca="false">IF(58&gt;COUNT(Accounts!$T$12:$T$311),"",SMALL(Accounts!$T$12:$T$311,58))</f>
        <v/>
      </c>
    </row>
    <row r="67" customFormat="false" ht="15" hidden="false" customHeight="false" outlineLevel="0" collapsed="false">
      <c r="A67" s="22" t="str">
        <f aca="false">IF($I67="","",INDEX(Accounts!$A$12:$A$311,MATCH($I67,Accounts!$T$12:$T$311,0))&amp;"")</f>
        <v/>
      </c>
      <c r="B67" s="30" t="str">
        <f aca="false">IF($I67="","",IF(INDEX(Accounts!$R$12:$R$311,MATCH($I67,Accounts!$T$12:$T$311,0))="Check inputs","—",INDEX(Accounts!$B$12:$B$311,MATCH($I67,Accounts!$T$12:$T$311,0))))</f>
        <v/>
      </c>
      <c r="C67" s="30" t="str">
        <f aca="false">IF($I67="","",IF(INDEX(Accounts!$R$12:$R$311,MATCH($I67,Accounts!$T$12:$T$311,0))="Check inputs","—",INDEX(Accounts!$M$12:$M$311,MATCH($I67,Accounts!$T$12:$T$311,0))))</f>
        <v/>
      </c>
      <c r="D67" s="30" t="str">
        <f aca="false">IF($I67="","",IF(INDEX(Accounts!$R$12:$R$311,MATCH($I67,Accounts!$T$12:$T$311,0))="Check inputs","—",INDEX(Accounts!$N$12:$N$311,MATCH($I67,Accounts!$T$12:$T$311,0))))</f>
        <v/>
      </c>
      <c r="E67" s="31" t="str">
        <f aca="false">IF($I67="","",IF(INDEX(Accounts!$R$12:$R$311,MATCH($I67,Accounts!$T$12:$T$311,0))="Check inputs","—",INDEX(Accounts!$O$12:$O$311,MATCH($I67,Accounts!$T$12:$T$311,0))))</f>
        <v/>
      </c>
      <c r="F67" s="30" t="str">
        <f aca="false">IF($I67="","",IF(INDEX(Accounts!$R$12:$R$311,MATCH($I67,Accounts!$T$12:$T$311,0))="Check inputs","—",INDEX(Accounts!$P$12:$P$311,MATCH($I67,Accounts!$T$12:$T$311,0))))</f>
        <v/>
      </c>
      <c r="G67" s="30" t="str">
        <f aca="false">IF($I67="","",IF(INDEX(Accounts!$R$12:$R$311,MATCH($I67,Accounts!$T$12:$T$311,0))="Check inputs","—",INDEX(Accounts!$Q$12:$Q$311,MATCH($I67,Accounts!$T$12:$T$311,0))))</f>
        <v/>
      </c>
      <c r="H67" s="32" t="str">
        <f aca="false">IF($I67="","",IF(INDEX(Accounts!$R$12:$R$311,MATCH($I67,Accounts!$T$12:$T$311,0))="Check inputs","Check inputs: "&amp;INDEX(Accounts!$S$12:$S$311,MATCH($I67,Accounts!$T$12:$T$311,0)),INDEX(Accounts!$R$12:$R$311,MATCH($I67,Accounts!$T$12:$T$311,0))))</f>
        <v/>
      </c>
      <c r="I67" s="33" t="str">
        <f aca="false">IF(59&gt;COUNT(Accounts!$T$12:$T$311),"",SMALL(Accounts!$T$12:$T$311,59))</f>
        <v/>
      </c>
    </row>
    <row r="68" customFormat="false" ht="15" hidden="false" customHeight="false" outlineLevel="0" collapsed="false">
      <c r="A68" s="22" t="str">
        <f aca="false">IF($I68="","",INDEX(Accounts!$A$12:$A$311,MATCH($I68,Accounts!$T$12:$T$311,0))&amp;"")</f>
        <v/>
      </c>
      <c r="B68" s="30" t="str">
        <f aca="false">IF($I68="","",IF(INDEX(Accounts!$R$12:$R$311,MATCH($I68,Accounts!$T$12:$T$311,0))="Check inputs","—",INDEX(Accounts!$B$12:$B$311,MATCH($I68,Accounts!$T$12:$T$311,0))))</f>
        <v/>
      </c>
      <c r="C68" s="30" t="str">
        <f aca="false">IF($I68="","",IF(INDEX(Accounts!$R$12:$R$311,MATCH($I68,Accounts!$T$12:$T$311,0))="Check inputs","—",INDEX(Accounts!$M$12:$M$311,MATCH($I68,Accounts!$T$12:$T$311,0))))</f>
        <v/>
      </c>
      <c r="D68" s="30" t="str">
        <f aca="false">IF($I68="","",IF(INDEX(Accounts!$R$12:$R$311,MATCH($I68,Accounts!$T$12:$T$311,0))="Check inputs","—",INDEX(Accounts!$N$12:$N$311,MATCH($I68,Accounts!$T$12:$T$311,0))))</f>
        <v/>
      </c>
      <c r="E68" s="31" t="str">
        <f aca="false">IF($I68="","",IF(INDEX(Accounts!$R$12:$R$311,MATCH($I68,Accounts!$T$12:$T$311,0))="Check inputs","—",INDEX(Accounts!$O$12:$O$311,MATCH($I68,Accounts!$T$12:$T$311,0))))</f>
        <v/>
      </c>
      <c r="F68" s="30" t="str">
        <f aca="false">IF($I68="","",IF(INDEX(Accounts!$R$12:$R$311,MATCH($I68,Accounts!$T$12:$T$311,0))="Check inputs","—",INDEX(Accounts!$P$12:$P$311,MATCH($I68,Accounts!$T$12:$T$311,0))))</f>
        <v/>
      </c>
      <c r="G68" s="30" t="str">
        <f aca="false">IF($I68="","",IF(INDEX(Accounts!$R$12:$R$311,MATCH($I68,Accounts!$T$12:$T$311,0))="Check inputs","—",INDEX(Accounts!$Q$12:$Q$311,MATCH($I68,Accounts!$T$12:$T$311,0))))</f>
        <v/>
      </c>
      <c r="H68" s="32" t="str">
        <f aca="false">IF($I68="","",IF(INDEX(Accounts!$R$12:$R$311,MATCH($I68,Accounts!$T$12:$T$311,0))="Check inputs","Check inputs: "&amp;INDEX(Accounts!$S$12:$S$311,MATCH($I68,Accounts!$T$12:$T$311,0)),INDEX(Accounts!$R$12:$R$311,MATCH($I68,Accounts!$T$12:$T$311,0))))</f>
        <v/>
      </c>
      <c r="I68" s="33" t="str">
        <f aca="false">IF(60&gt;COUNT(Accounts!$T$12:$T$311),"",SMALL(Accounts!$T$12:$T$311,60))</f>
        <v/>
      </c>
    </row>
    <row r="69" customFormat="false" ht="15" hidden="false" customHeight="false" outlineLevel="0" collapsed="false">
      <c r="A69" s="22" t="str">
        <f aca="false">IF($I69="","",INDEX(Accounts!$A$12:$A$311,MATCH($I69,Accounts!$T$12:$T$311,0))&amp;"")</f>
        <v/>
      </c>
      <c r="B69" s="30" t="str">
        <f aca="false">IF($I69="","",IF(INDEX(Accounts!$R$12:$R$311,MATCH($I69,Accounts!$T$12:$T$311,0))="Check inputs","—",INDEX(Accounts!$B$12:$B$311,MATCH($I69,Accounts!$T$12:$T$311,0))))</f>
        <v/>
      </c>
      <c r="C69" s="30" t="str">
        <f aca="false">IF($I69="","",IF(INDEX(Accounts!$R$12:$R$311,MATCH($I69,Accounts!$T$12:$T$311,0))="Check inputs","—",INDEX(Accounts!$M$12:$M$311,MATCH($I69,Accounts!$T$12:$T$311,0))))</f>
        <v/>
      </c>
      <c r="D69" s="30" t="str">
        <f aca="false">IF($I69="","",IF(INDEX(Accounts!$R$12:$R$311,MATCH($I69,Accounts!$T$12:$T$311,0))="Check inputs","—",INDEX(Accounts!$N$12:$N$311,MATCH($I69,Accounts!$T$12:$T$311,0))))</f>
        <v/>
      </c>
      <c r="E69" s="31" t="str">
        <f aca="false">IF($I69="","",IF(INDEX(Accounts!$R$12:$R$311,MATCH($I69,Accounts!$T$12:$T$311,0))="Check inputs","—",INDEX(Accounts!$O$12:$O$311,MATCH($I69,Accounts!$T$12:$T$311,0))))</f>
        <v/>
      </c>
      <c r="F69" s="30" t="str">
        <f aca="false">IF($I69="","",IF(INDEX(Accounts!$R$12:$R$311,MATCH($I69,Accounts!$T$12:$T$311,0))="Check inputs","—",INDEX(Accounts!$P$12:$P$311,MATCH($I69,Accounts!$T$12:$T$311,0))))</f>
        <v/>
      </c>
      <c r="G69" s="30" t="str">
        <f aca="false">IF($I69="","",IF(INDEX(Accounts!$R$12:$R$311,MATCH($I69,Accounts!$T$12:$T$311,0))="Check inputs","—",INDEX(Accounts!$Q$12:$Q$311,MATCH($I69,Accounts!$T$12:$T$311,0))))</f>
        <v/>
      </c>
      <c r="H69" s="32" t="str">
        <f aca="false">IF($I69="","",IF(INDEX(Accounts!$R$12:$R$311,MATCH($I69,Accounts!$T$12:$T$311,0))="Check inputs","Check inputs: "&amp;INDEX(Accounts!$S$12:$S$311,MATCH($I69,Accounts!$T$12:$T$311,0)),INDEX(Accounts!$R$12:$R$311,MATCH($I69,Accounts!$T$12:$T$311,0))))</f>
        <v/>
      </c>
      <c r="I69" s="33" t="str">
        <f aca="false">IF(61&gt;COUNT(Accounts!$T$12:$T$311),"",SMALL(Accounts!$T$12:$T$311,61))</f>
        <v/>
      </c>
    </row>
    <row r="70" customFormat="false" ht="15" hidden="false" customHeight="false" outlineLevel="0" collapsed="false">
      <c r="A70" s="22" t="str">
        <f aca="false">IF($I70="","",INDEX(Accounts!$A$12:$A$311,MATCH($I70,Accounts!$T$12:$T$311,0))&amp;"")</f>
        <v/>
      </c>
      <c r="B70" s="30" t="str">
        <f aca="false">IF($I70="","",IF(INDEX(Accounts!$R$12:$R$311,MATCH($I70,Accounts!$T$12:$T$311,0))="Check inputs","—",INDEX(Accounts!$B$12:$B$311,MATCH($I70,Accounts!$T$12:$T$311,0))))</f>
        <v/>
      </c>
      <c r="C70" s="30" t="str">
        <f aca="false">IF($I70="","",IF(INDEX(Accounts!$R$12:$R$311,MATCH($I70,Accounts!$T$12:$T$311,0))="Check inputs","—",INDEX(Accounts!$M$12:$M$311,MATCH($I70,Accounts!$T$12:$T$311,0))))</f>
        <v/>
      </c>
      <c r="D70" s="30" t="str">
        <f aca="false">IF($I70="","",IF(INDEX(Accounts!$R$12:$R$311,MATCH($I70,Accounts!$T$12:$T$311,0))="Check inputs","—",INDEX(Accounts!$N$12:$N$311,MATCH($I70,Accounts!$T$12:$T$311,0))))</f>
        <v/>
      </c>
      <c r="E70" s="31" t="str">
        <f aca="false">IF($I70="","",IF(INDEX(Accounts!$R$12:$R$311,MATCH($I70,Accounts!$T$12:$T$311,0))="Check inputs","—",INDEX(Accounts!$O$12:$O$311,MATCH($I70,Accounts!$T$12:$T$311,0))))</f>
        <v/>
      </c>
      <c r="F70" s="30" t="str">
        <f aca="false">IF($I70="","",IF(INDEX(Accounts!$R$12:$R$311,MATCH($I70,Accounts!$T$12:$T$311,0))="Check inputs","—",INDEX(Accounts!$P$12:$P$311,MATCH($I70,Accounts!$T$12:$T$311,0))))</f>
        <v/>
      </c>
      <c r="G70" s="30" t="str">
        <f aca="false">IF($I70="","",IF(INDEX(Accounts!$R$12:$R$311,MATCH($I70,Accounts!$T$12:$T$311,0))="Check inputs","—",INDEX(Accounts!$Q$12:$Q$311,MATCH($I70,Accounts!$T$12:$T$311,0))))</f>
        <v/>
      </c>
      <c r="H70" s="32" t="str">
        <f aca="false">IF($I70="","",IF(INDEX(Accounts!$R$12:$R$311,MATCH($I70,Accounts!$T$12:$T$311,0))="Check inputs","Check inputs: "&amp;INDEX(Accounts!$S$12:$S$311,MATCH($I70,Accounts!$T$12:$T$311,0)),INDEX(Accounts!$R$12:$R$311,MATCH($I70,Accounts!$T$12:$T$311,0))))</f>
        <v/>
      </c>
      <c r="I70" s="33" t="str">
        <f aca="false">IF(62&gt;COUNT(Accounts!$T$12:$T$311),"",SMALL(Accounts!$T$12:$T$311,62))</f>
        <v/>
      </c>
    </row>
    <row r="71" customFormat="false" ht="15" hidden="false" customHeight="false" outlineLevel="0" collapsed="false">
      <c r="A71" s="22" t="str">
        <f aca="false">IF($I71="","",INDEX(Accounts!$A$12:$A$311,MATCH($I71,Accounts!$T$12:$T$311,0))&amp;"")</f>
        <v/>
      </c>
      <c r="B71" s="30" t="str">
        <f aca="false">IF($I71="","",IF(INDEX(Accounts!$R$12:$R$311,MATCH($I71,Accounts!$T$12:$T$311,0))="Check inputs","—",INDEX(Accounts!$B$12:$B$311,MATCH($I71,Accounts!$T$12:$T$311,0))))</f>
        <v/>
      </c>
      <c r="C71" s="30" t="str">
        <f aca="false">IF($I71="","",IF(INDEX(Accounts!$R$12:$R$311,MATCH($I71,Accounts!$T$12:$T$311,0))="Check inputs","—",INDEX(Accounts!$M$12:$M$311,MATCH($I71,Accounts!$T$12:$T$311,0))))</f>
        <v/>
      </c>
      <c r="D71" s="30" t="str">
        <f aca="false">IF($I71="","",IF(INDEX(Accounts!$R$12:$R$311,MATCH($I71,Accounts!$T$12:$T$311,0))="Check inputs","—",INDEX(Accounts!$N$12:$N$311,MATCH($I71,Accounts!$T$12:$T$311,0))))</f>
        <v/>
      </c>
      <c r="E71" s="31" t="str">
        <f aca="false">IF($I71="","",IF(INDEX(Accounts!$R$12:$R$311,MATCH($I71,Accounts!$T$12:$T$311,0))="Check inputs","—",INDEX(Accounts!$O$12:$O$311,MATCH($I71,Accounts!$T$12:$T$311,0))))</f>
        <v/>
      </c>
      <c r="F71" s="30" t="str">
        <f aca="false">IF($I71="","",IF(INDEX(Accounts!$R$12:$R$311,MATCH($I71,Accounts!$T$12:$T$311,0))="Check inputs","—",INDEX(Accounts!$P$12:$P$311,MATCH($I71,Accounts!$T$12:$T$311,0))))</f>
        <v/>
      </c>
      <c r="G71" s="30" t="str">
        <f aca="false">IF($I71="","",IF(INDEX(Accounts!$R$12:$R$311,MATCH($I71,Accounts!$T$12:$T$311,0))="Check inputs","—",INDEX(Accounts!$Q$12:$Q$311,MATCH($I71,Accounts!$T$12:$T$311,0))))</f>
        <v/>
      </c>
      <c r="H71" s="32" t="str">
        <f aca="false">IF($I71="","",IF(INDEX(Accounts!$R$12:$R$311,MATCH($I71,Accounts!$T$12:$T$311,0))="Check inputs","Check inputs: "&amp;INDEX(Accounts!$S$12:$S$311,MATCH($I71,Accounts!$T$12:$T$311,0)),INDEX(Accounts!$R$12:$R$311,MATCH($I71,Accounts!$T$12:$T$311,0))))</f>
        <v/>
      </c>
      <c r="I71" s="33" t="str">
        <f aca="false">IF(63&gt;COUNT(Accounts!$T$12:$T$311),"",SMALL(Accounts!$T$12:$T$311,63))</f>
        <v/>
      </c>
    </row>
    <row r="72" customFormat="false" ht="15" hidden="false" customHeight="false" outlineLevel="0" collapsed="false">
      <c r="A72" s="22" t="str">
        <f aca="false">IF($I72="","",INDEX(Accounts!$A$12:$A$311,MATCH($I72,Accounts!$T$12:$T$311,0))&amp;"")</f>
        <v/>
      </c>
      <c r="B72" s="30" t="str">
        <f aca="false">IF($I72="","",IF(INDEX(Accounts!$R$12:$R$311,MATCH($I72,Accounts!$T$12:$T$311,0))="Check inputs","—",INDEX(Accounts!$B$12:$B$311,MATCH($I72,Accounts!$T$12:$T$311,0))))</f>
        <v/>
      </c>
      <c r="C72" s="30" t="str">
        <f aca="false">IF($I72="","",IF(INDEX(Accounts!$R$12:$R$311,MATCH($I72,Accounts!$T$12:$T$311,0))="Check inputs","—",INDEX(Accounts!$M$12:$M$311,MATCH($I72,Accounts!$T$12:$T$311,0))))</f>
        <v/>
      </c>
      <c r="D72" s="30" t="str">
        <f aca="false">IF($I72="","",IF(INDEX(Accounts!$R$12:$R$311,MATCH($I72,Accounts!$T$12:$T$311,0))="Check inputs","—",INDEX(Accounts!$N$12:$N$311,MATCH($I72,Accounts!$T$12:$T$311,0))))</f>
        <v/>
      </c>
      <c r="E72" s="31" t="str">
        <f aca="false">IF($I72="","",IF(INDEX(Accounts!$R$12:$R$311,MATCH($I72,Accounts!$T$12:$T$311,0))="Check inputs","—",INDEX(Accounts!$O$12:$O$311,MATCH($I72,Accounts!$T$12:$T$311,0))))</f>
        <v/>
      </c>
      <c r="F72" s="30" t="str">
        <f aca="false">IF($I72="","",IF(INDEX(Accounts!$R$12:$R$311,MATCH($I72,Accounts!$T$12:$T$311,0))="Check inputs","—",INDEX(Accounts!$P$12:$P$311,MATCH($I72,Accounts!$T$12:$T$311,0))))</f>
        <v/>
      </c>
      <c r="G72" s="30" t="str">
        <f aca="false">IF($I72="","",IF(INDEX(Accounts!$R$12:$R$311,MATCH($I72,Accounts!$T$12:$T$311,0))="Check inputs","—",INDEX(Accounts!$Q$12:$Q$311,MATCH($I72,Accounts!$T$12:$T$311,0))))</f>
        <v/>
      </c>
      <c r="H72" s="32" t="str">
        <f aca="false">IF($I72="","",IF(INDEX(Accounts!$R$12:$R$311,MATCH($I72,Accounts!$T$12:$T$311,0))="Check inputs","Check inputs: "&amp;INDEX(Accounts!$S$12:$S$311,MATCH($I72,Accounts!$T$12:$T$311,0)),INDEX(Accounts!$R$12:$R$311,MATCH($I72,Accounts!$T$12:$T$311,0))))</f>
        <v/>
      </c>
      <c r="I72" s="33" t="str">
        <f aca="false">IF(64&gt;COUNT(Accounts!$T$12:$T$311),"",SMALL(Accounts!$T$12:$T$311,64))</f>
        <v/>
      </c>
    </row>
    <row r="73" customFormat="false" ht="15" hidden="false" customHeight="false" outlineLevel="0" collapsed="false">
      <c r="A73" s="22" t="str">
        <f aca="false">IF($I73="","",INDEX(Accounts!$A$12:$A$311,MATCH($I73,Accounts!$T$12:$T$311,0))&amp;"")</f>
        <v/>
      </c>
      <c r="B73" s="30" t="str">
        <f aca="false">IF($I73="","",IF(INDEX(Accounts!$R$12:$R$311,MATCH($I73,Accounts!$T$12:$T$311,0))="Check inputs","—",INDEX(Accounts!$B$12:$B$311,MATCH($I73,Accounts!$T$12:$T$311,0))))</f>
        <v/>
      </c>
      <c r="C73" s="30" t="str">
        <f aca="false">IF($I73="","",IF(INDEX(Accounts!$R$12:$R$311,MATCH($I73,Accounts!$T$12:$T$311,0))="Check inputs","—",INDEX(Accounts!$M$12:$M$311,MATCH($I73,Accounts!$T$12:$T$311,0))))</f>
        <v/>
      </c>
      <c r="D73" s="30" t="str">
        <f aca="false">IF($I73="","",IF(INDEX(Accounts!$R$12:$R$311,MATCH($I73,Accounts!$T$12:$T$311,0))="Check inputs","—",INDEX(Accounts!$N$12:$N$311,MATCH($I73,Accounts!$T$12:$T$311,0))))</f>
        <v/>
      </c>
      <c r="E73" s="31" t="str">
        <f aca="false">IF($I73="","",IF(INDEX(Accounts!$R$12:$R$311,MATCH($I73,Accounts!$T$12:$T$311,0))="Check inputs","—",INDEX(Accounts!$O$12:$O$311,MATCH($I73,Accounts!$T$12:$T$311,0))))</f>
        <v/>
      </c>
      <c r="F73" s="30" t="str">
        <f aca="false">IF($I73="","",IF(INDEX(Accounts!$R$12:$R$311,MATCH($I73,Accounts!$T$12:$T$311,0))="Check inputs","—",INDEX(Accounts!$P$12:$P$311,MATCH($I73,Accounts!$T$12:$T$311,0))))</f>
        <v/>
      </c>
      <c r="G73" s="30" t="str">
        <f aca="false">IF($I73="","",IF(INDEX(Accounts!$R$12:$R$311,MATCH($I73,Accounts!$T$12:$T$311,0))="Check inputs","—",INDEX(Accounts!$Q$12:$Q$311,MATCH($I73,Accounts!$T$12:$T$311,0))))</f>
        <v/>
      </c>
      <c r="H73" s="32" t="str">
        <f aca="false">IF($I73="","",IF(INDEX(Accounts!$R$12:$R$311,MATCH($I73,Accounts!$T$12:$T$311,0))="Check inputs","Check inputs: "&amp;INDEX(Accounts!$S$12:$S$311,MATCH($I73,Accounts!$T$12:$T$311,0)),INDEX(Accounts!$R$12:$R$311,MATCH($I73,Accounts!$T$12:$T$311,0))))</f>
        <v/>
      </c>
      <c r="I73" s="33" t="str">
        <f aca="false">IF(65&gt;COUNT(Accounts!$T$12:$T$311),"",SMALL(Accounts!$T$12:$T$311,65))</f>
        <v/>
      </c>
    </row>
    <row r="74" customFormat="false" ht="15" hidden="false" customHeight="false" outlineLevel="0" collapsed="false">
      <c r="A74" s="22" t="str">
        <f aca="false">IF($I74="","",INDEX(Accounts!$A$12:$A$311,MATCH($I74,Accounts!$T$12:$T$311,0))&amp;"")</f>
        <v/>
      </c>
      <c r="B74" s="30" t="str">
        <f aca="false">IF($I74="","",IF(INDEX(Accounts!$R$12:$R$311,MATCH($I74,Accounts!$T$12:$T$311,0))="Check inputs","—",INDEX(Accounts!$B$12:$B$311,MATCH($I74,Accounts!$T$12:$T$311,0))))</f>
        <v/>
      </c>
      <c r="C74" s="30" t="str">
        <f aca="false">IF($I74="","",IF(INDEX(Accounts!$R$12:$R$311,MATCH($I74,Accounts!$T$12:$T$311,0))="Check inputs","—",INDEX(Accounts!$M$12:$M$311,MATCH($I74,Accounts!$T$12:$T$311,0))))</f>
        <v/>
      </c>
      <c r="D74" s="30" t="str">
        <f aca="false">IF($I74="","",IF(INDEX(Accounts!$R$12:$R$311,MATCH($I74,Accounts!$T$12:$T$311,0))="Check inputs","—",INDEX(Accounts!$N$12:$N$311,MATCH($I74,Accounts!$T$12:$T$311,0))))</f>
        <v/>
      </c>
      <c r="E74" s="31" t="str">
        <f aca="false">IF($I74="","",IF(INDEX(Accounts!$R$12:$R$311,MATCH($I74,Accounts!$T$12:$T$311,0))="Check inputs","—",INDEX(Accounts!$O$12:$O$311,MATCH($I74,Accounts!$T$12:$T$311,0))))</f>
        <v/>
      </c>
      <c r="F74" s="30" t="str">
        <f aca="false">IF($I74="","",IF(INDEX(Accounts!$R$12:$R$311,MATCH($I74,Accounts!$T$12:$T$311,0))="Check inputs","—",INDEX(Accounts!$P$12:$P$311,MATCH($I74,Accounts!$T$12:$T$311,0))))</f>
        <v/>
      </c>
      <c r="G74" s="30" t="str">
        <f aca="false">IF($I74="","",IF(INDEX(Accounts!$R$12:$R$311,MATCH($I74,Accounts!$T$12:$T$311,0))="Check inputs","—",INDEX(Accounts!$Q$12:$Q$311,MATCH($I74,Accounts!$T$12:$T$311,0))))</f>
        <v/>
      </c>
      <c r="H74" s="32" t="str">
        <f aca="false">IF($I74="","",IF(INDEX(Accounts!$R$12:$R$311,MATCH($I74,Accounts!$T$12:$T$311,0))="Check inputs","Check inputs: "&amp;INDEX(Accounts!$S$12:$S$311,MATCH($I74,Accounts!$T$12:$T$311,0)),INDEX(Accounts!$R$12:$R$311,MATCH($I74,Accounts!$T$12:$T$311,0))))</f>
        <v/>
      </c>
      <c r="I74" s="33" t="str">
        <f aca="false">IF(66&gt;COUNT(Accounts!$T$12:$T$311),"",SMALL(Accounts!$T$12:$T$311,66))</f>
        <v/>
      </c>
    </row>
    <row r="75" customFormat="false" ht="15" hidden="false" customHeight="false" outlineLevel="0" collapsed="false">
      <c r="A75" s="22" t="str">
        <f aca="false">IF($I75="","",INDEX(Accounts!$A$12:$A$311,MATCH($I75,Accounts!$T$12:$T$311,0))&amp;"")</f>
        <v/>
      </c>
      <c r="B75" s="30" t="str">
        <f aca="false">IF($I75="","",IF(INDEX(Accounts!$R$12:$R$311,MATCH($I75,Accounts!$T$12:$T$311,0))="Check inputs","—",INDEX(Accounts!$B$12:$B$311,MATCH($I75,Accounts!$T$12:$T$311,0))))</f>
        <v/>
      </c>
      <c r="C75" s="30" t="str">
        <f aca="false">IF($I75="","",IF(INDEX(Accounts!$R$12:$R$311,MATCH($I75,Accounts!$T$12:$T$311,0))="Check inputs","—",INDEX(Accounts!$M$12:$M$311,MATCH($I75,Accounts!$T$12:$T$311,0))))</f>
        <v/>
      </c>
      <c r="D75" s="30" t="str">
        <f aca="false">IF($I75="","",IF(INDEX(Accounts!$R$12:$R$311,MATCH($I75,Accounts!$T$12:$T$311,0))="Check inputs","—",INDEX(Accounts!$N$12:$N$311,MATCH($I75,Accounts!$T$12:$T$311,0))))</f>
        <v/>
      </c>
      <c r="E75" s="31" t="str">
        <f aca="false">IF($I75="","",IF(INDEX(Accounts!$R$12:$R$311,MATCH($I75,Accounts!$T$12:$T$311,0))="Check inputs","—",INDEX(Accounts!$O$12:$O$311,MATCH($I75,Accounts!$T$12:$T$311,0))))</f>
        <v/>
      </c>
      <c r="F75" s="30" t="str">
        <f aca="false">IF($I75="","",IF(INDEX(Accounts!$R$12:$R$311,MATCH($I75,Accounts!$T$12:$T$311,0))="Check inputs","—",INDEX(Accounts!$P$12:$P$311,MATCH($I75,Accounts!$T$12:$T$311,0))))</f>
        <v/>
      </c>
      <c r="G75" s="30" t="str">
        <f aca="false">IF($I75="","",IF(INDEX(Accounts!$R$12:$R$311,MATCH($I75,Accounts!$T$12:$T$311,0))="Check inputs","—",INDEX(Accounts!$Q$12:$Q$311,MATCH($I75,Accounts!$T$12:$T$311,0))))</f>
        <v/>
      </c>
      <c r="H75" s="32" t="str">
        <f aca="false">IF($I75="","",IF(INDEX(Accounts!$R$12:$R$311,MATCH($I75,Accounts!$T$12:$T$311,0))="Check inputs","Check inputs: "&amp;INDEX(Accounts!$S$12:$S$311,MATCH($I75,Accounts!$T$12:$T$311,0)),INDEX(Accounts!$R$12:$R$311,MATCH($I75,Accounts!$T$12:$T$311,0))))</f>
        <v/>
      </c>
      <c r="I75" s="33" t="str">
        <f aca="false">IF(67&gt;COUNT(Accounts!$T$12:$T$311),"",SMALL(Accounts!$T$12:$T$311,67))</f>
        <v/>
      </c>
    </row>
    <row r="76" customFormat="false" ht="15" hidden="false" customHeight="false" outlineLevel="0" collapsed="false">
      <c r="A76" s="22" t="str">
        <f aca="false">IF($I76="","",INDEX(Accounts!$A$12:$A$311,MATCH($I76,Accounts!$T$12:$T$311,0))&amp;"")</f>
        <v/>
      </c>
      <c r="B76" s="30" t="str">
        <f aca="false">IF($I76="","",IF(INDEX(Accounts!$R$12:$R$311,MATCH($I76,Accounts!$T$12:$T$311,0))="Check inputs","—",INDEX(Accounts!$B$12:$B$311,MATCH($I76,Accounts!$T$12:$T$311,0))))</f>
        <v/>
      </c>
      <c r="C76" s="30" t="str">
        <f aca="false">IF($I76="","",IF(INDEX(Accounts!$R$12:$R$311,MATCH($I76,Accounts!$T$12:$T$311,0))="Check inputs","—",INDEX(Accounts!$M$12:$M$311,MATCH($I76,Accounts!$T$12:$T$311,0))))</f>
        <v/>
      </c>
      <c r="D76" s="30" t="str">
        <f aca="false">IF($I76="","",IF(INDEX(Accounts!$R$12:$R$311,MATCH($I76,Accounts!$T$12:$T$311,0))="Check inputs","—",INDEX(Accounts!$N$12:$N$311,MATCH($I76,Accounts!$T$12:$T$311,0))))</f>
        <v/>
      </c>
      <c r="E76" s="31" t="str">
        <f aca="false">IF($I76="","",IF(INDEX(Accounts!$R$12:$R$311,MATCH($I76,Accounts!$T$12:$T$311,0))="Check inputs","—",INDEX(Accounts!$O$12:$O$311,MATCH($I76,Accounts!$T$12:$T$311,0))))</f>
        <v/>
      </c>
      <c r="F76" s="30" t="str">
        <f aca="false">IF($I76="","",IF(INDEX(Accounts!$R$12:$R$311,MATCH($I76,Accounts!$T$12:$T$311,0))="Check inputs","—",INDEX(Accounts!$P$12:$P$311,MATCH($I76,Accounts!$T$12:$T$311,0))))</f>
        <v/>
      </c>
      <c r="G76" s="30" t="str">
        <f aca="false">IF($I76="","",IF(INDEX(Accounts!$R$12:$R$311,MATCH($I76,Accounts!$T$12:$T$311,0))="Check inputs","—",INDEX(Accounts!$Q$12:$Q$311,MATCH($I76,Accounts!$T$12:$T$311,0))))</f>
        <v/>
      </c>
      <c r="H76" s="32" t="str">
        <f aca="false">IF($I76="","",IF(INDEX(Accounts!$R$12:$R$311,MATCH($I76,Accounts!$T$12:$T$311,0))="Check inputs","Check inputs: "&amp;INDEX(Accounts!$S$12:$S$311,MATCH($I76,Accounts!$T$12:$T$311,0)),INDEX(Accounts!$R$12:$R$311,MATCH($I76,Accounts!$T$12:$T$311,0))))</f>
        <v/>
      </c>
      <c r="I76" s="33" t="str">
        <f aca="false">IF(68&gt;COUNT(Accounts!$T$12:$T$311),"",SMALL(Accounts!$T$12:$T$311,68))</f>
        <v/>
      </c>
    </row>
    <row r="77" customFormat="false" ht="15" hidden="false" customHeight="false" outlineLevel="0" collapsed="false">
      <c r="A77" s="22" t="str">
        <f aca="false">IF($I77="","",INDEX(Accounts!$A$12:$A$311,MATCH($I77,Accounts!$T$12:$T$311,0))&amp;"")</f>
        <v/>
      </c>
      <c r="B77" s="30" t="str">
        <f aca="false">IF($I77="","",IF(INDEX(Accounts!$R$12:$R$311,MATCH($I77,Accounts!$T$12:$T$311,0))="Check inputs","—",INDEX(Accounts!$B$12:$B$311,MATCH($I77,Accounts!$T$12:$T$311,0))))</f>
        <v/>
      </c>
      <c r="C77" s="30" t="str">
        <f aca="false">IF($I77="","",IF(INDEX(Accounts!$R$12:$R$311,MATCH($I77,Accounts!$T$12:$T$311,0))="Check inputs","—",INDEX(Accounts!$M$12:$M$311,MATCH($I77,Accounts!$T$12:$T$311,0))))</f>
        <v/>
      </c>
      <c r="D77" s="30" t="str">
        <f aca="false">IF($I77="","",IF(INDEX(Accounts!$R$12:$R$311,MATCH($I77,Accounts!$T$12:$T$311,0))="Check inputs","—",INDEX(Accounts!$N$12:$N$311,MATCH($I77,Accounts!$T$12:$T$311,0))))</f>
        <v/>
      </c>
      <c r="E77" s="31" t="str">
        <f aca="false">IF($I77="","",IF(INDEX(Accounts!$R$12:$R$311,MATCH($I77,Accounts!$T$12:$T$311,0))="Check inputs","—",INDEX(Accounts!$O$12:$O$311,MATCH($I77,Accounts!$T$12:$T$311,0))))</f>
        <v/>
      </c>
      <c r="F77" s="30" t="str">
        <f aca="false">IF($I77="","",IF(INDEX(Accounts!$R$12:$R$311,MATCH($I77,Accounts!$T$12:$T$311,0))="Check inputs","—",INDEX(Accounts!$P$12:$P$311,MATCH($I77,Accounts!$T$12:$T$311,0))))</f>
        <v/>
      </c>
      <c r="G77" s="30" t="str">
        <f aca="false">IF($I77="","",IF(INDEX(Accounts!$R$12:$R$311,MATCH($I77,Accounts!$T$12:$T$311,0))="Check inputs","—",INDEX(Accounts!$Q$12:$Q$311,MATCH($I77,Accounts!$T$12:$T$311,0))))</f>
        <v/>
      </c>
      <c r="H77" s="32" t="str">
        <f aca="false">IF($I77="","",IF(INDEX(Accounts!$R$12:$R$311,MATCH($I77,Accounts!$T$12:$T$311,0))="Check inputs","Check inputs: "&amp;INDEX(Accounts!$S$12:$S$311,MATCH($I77,Accounts!$T$12:$T$311,0)),INDEX(Accounts!$R$12:$R$311,MATCH($I77,Accounts!$T$12:$T$311,0))))</f>
        <v/>
      </c>
      <c r="I77" s="33" t="str">
        <f aca="false">IF(69&gt;COUNT(Accounts!$T$12:$T$311),"",SMALL(Accounts!$T$12:$T$311,69))</f>
        <v/>
      </c>
    </row>
    <row r="78" customFormat="false" ht="15" hidden="false" customHeight="false" outlineLevel="0" collapsed="false">
      <c r="A78" s="22" t="str">
        <f aca="false">IF($I78="","",INDEX(Accounts!$A$12:$A$311,MATCH($I78,Accounts!$T$12:$T$311,0))&amp;"")</f>
        <v/>
      </c>
      <c r="B78" s="30" t="str">
        <f aca="false">IF($I78="","",IF(INDEX(Accounts!$R$12:$R$311,MATCH($I78,Accounts!$T$12:$T$311,0))="Check inputs","—",INDEX(Accounts!$B$12:$B$311,MATCH($I78,Accounts!$T$12:$T$311,0))))</f>
        <v/>
      </c>
      <c r="C78" s="30" t="str">
        <f aca="false">IF($I78="","",IF(INDEX(Accounts!$R$12:$R$311,MATCH($I78,Accounts!$T$12:$T$311,0))="Check inputs","—",INDEX(Accounts!$M$12:$M$311,MATCH($I78,Accounts!$T$12:$T$311,0))))</f>
        <v/>
      </c>
      <c r="D78" s="30" t="str">
        <f aca="false">IF($I78="","",IF(INDEX(Accounts!$R$12:$R$311,MATCH($I78,Accounts!$T$12:$T$311,0))="Check inputs","—",INDEX(Accounts!$N$12:$N$311,MATCH($I78,Accounts!$T$12:$T$311,0))))</f>
        <v/>
      </c>
      <c r="E78" s="31" t="str">
        <f aca="false">IF($I78="","",IF(INDEX(Accounts!$R$12:$R$311,MATCH($I78,Accounts!$T$12:$T$311,0))="Check inputs","—",INDEX(Accounts!$O$12:$O$311,MATCH($I78,Accounts!$T$12:$T$311,0))))</f>
        <v/>
      </c>
      <c r="F78" s="30" t="str">
        <f aca="false">IF($I78="","",IF(INDEX(Accounts!$R$12:$R$311,MATCH($I78,Accounts!$T$12:$T$311,0))="Check inputs","—",INDEX(Accounts!$P$12:$P$311,MATCH($I78,Accounts!$T$12:$T$311,0))))</f>
        <v/>
      </c>
      <c r="G78" s="30" t="str">
        <f aca="false">IF($I78="","",IF(INDEX(Accounts!$R$12:$R$311,MATCH($I78,Accounts!$T$12:$T$311,0))="Check inputs","—",INDEX(Accounts!$Q$12:$Q$311,MATCH($I78,Accounts!$T$12:$T$311,0))))</f>
        <v/>
      </c>
      <c r="H78" s="32" t="str">
        <f aca="false">IF($I78="","",IF(INDEX(Accounts!$R$12:$R$311,MATCH($I78,Accounts!$T$12:$T$311,0))="Check inputs","Check inputs: "&amp;INDEX(Accounts!$S$12:$S$311,MATCH($I78,Accounts!$T$12:$T$311,0)),INDEX(Accounts!$R$12:$R$311,MATCH($I78,Accounts!$T$12:$T$311,0))))</f>
        <v/>
      </c>
      <c r="I78" s="33" t="str">
        <f aca="false">IF(70&gt;COUNT(Accounts!$T$12:$T$311),"",SMALL(Accounts!$T$12:$T$311,70))</f>
        <v/>
      </c>
    </row>
    <row r="79" customFormat="false" ht="15" hidden="false" customHeight="false" outlineLevel="0" collapsed="false">
      <c r="A79" s="22" t="str">
        <f aca="false">IF($I79="","",INDEX(Accounts!$A$12:$A$311,MATCH($I79,Accounts!$T$12:$T$311,0))&amp;"")</f>
        <v/>
      </c>
      <c r="B79" s="30" t="str">
        <f aca="false">IF($I79="","",IF(INDEX(Accounts!$R$12:$R$311,MATCH($I79,Accounts!$T$12:$T$311,0))="Check inputs","—",INDEX(Accounts!$B$12:$B$311,MATCH($I79,Accounts!$T$12:$T$311,0))))</f>
        <v/>
      </c>
      <c r="C79" s="30" t="str">
        <f aca="false">IF($I79="","",IF(INDEX(Accounts!$R$12:$R$311,MATCH($I79,Accounts!$T$12:$T$311,0))="Check inputs","—",INDEX(Accounts!$M$12:$M$311,MATCH($I79,Accounts!$T$12:$T$311,0))))</f>
        <v/>
      </c>
      <c r="D79" s="30" t="str">
        <f aca="false">IF($I79="","",IF(INDEX(Accounts!$R$12:$R$311,MATCH($I79,Accounts!$T$12:$T$311,0))="Check inputs","—",INDEX(Accounts!$N$12:$N$311,MATCH($I79,Accounts!$T$12:$T$311,0))))</f>
        <v/>
      </c>
      <c r="E79" s="31" t="str">
        <f aca="false">IF($I79="","",IF(INDEX(Accounts!$R$12:$R$311,MATCH($I79,Accounts!$T$12:$T$311,0))="Check inputs","—",INDEX(Accounts!$O$12:$O$311,MATCH($I79,Accounts!$T$12:$T$311,0))))</f>
        <v/>
      </c>
      <c r="F79" s="30" t="str">
        <f aca="false">IF($I79="","",IF(INDEX(Accounts!$R$12:$R$311,MATCH($I79,Accounts!$T$12:$T$311,0))="Check inputs","—",INDEX(Accounts!$P$12:$P$311,MATCH($I79,Accounts!$T$12:$T$311,0))))</f>
        <v/>
      </c>
      <c r="G79" s="30" t="str">
        <f aca="false">IF($I79="","",IF(INDEX(Accounts!$R$12:$R$311,MATCH($I79,Accounts!$T$12:$T$311,0))="Check inputs","—",INDEX(Accounts!$Q$12:$Q$311,MATCH($I79,Accounts!$T$12:$T$311,0))))</f>
        <v/>
      </c>
      <c r="H79" s="32" t="str">
        <f aca="false">IF($I79="","",IF(INDEX(Accounts!$R$12:$R$311,MATCH($I79,Accounts!$T$12:$T$311,0))="Check inputs","Check inputs: "&amp;INDEX(Accounts!$S$12:$S$311,MATCH($I79,Accounts!$T$12:$T$311,0)),INDEX(Accounts!$R$12:$R$311,MATCH($I79,Accounts!$T$12:$T$311,0))))</f>
        <v/>
      </c>
      <c r="I79" s="33" t="str">
        <f aca="false">IF(71&gt;COUNT(Accounts!$T$12:$T$311),"",SMALL(Accounts!$T$12:$T$311,71))</f>
        <v/>
      </c>
    </row>
    <row r="80" customFormat="false" ht="15" hidden="false" customHeight="false" outlineLevel="0" collapsed="false">
      <c r="A80" s="22" t="str">
        <f aca="false">IF($I80="","",INDEX(Accounts!$A$12:$A$311,MATCH($I80,Accounts!$T$12:$T$311,0))&amp;"")</f>
        <v/>
      </c>
      <c r="B80" s="30" t="str">
        <f aca="false">IF($I80="","",IF(INDEX(Accounts!$R$12:$R$311,MATCH($I80,Accounts!$T$12:$T$311,0))="Check inputs","—",INDEX(Accounts!$B$12:$B$311,MATCH($I80,Accounts!$T$12:$T$311,0))))</f>
        <v/>
      </c>
      <c r="C80" s="30" t="str">
        <f aca="false">IF($I80="","",IF(INDEX(Accounts!$R$12:$R$311,MATCH($I80,Accounts!$T$12:$T$311,0))="Check inputs","—",INDEX(Accounts!$M$12:$M$311,MATCH($I80,Accounts!$T$12:$T$311,0))))</f>
        <v/>
      </c>
      <c r="D80" s="30" t="str">
        <f aca="false">IF($I80="","",IF(INDEX(Accounts!$R$12:$R$311,MATCH($I80,Accounts!$T$12:$T$311,0))="Check inputs","—",INDEX(Accounts!$N$12:$N$311,MATCH($I80,Accounts!$T$12:$T$311,0))))</f>
        <v/>
      </c>
      <c r="E80" s="31" t="str">
        <f aca="false">IF($I80="","",IF(INDEX(Accounts!$R$12:$R$311,MATCH($I80,Accounts!$T$12:$T$311,0))="Check inputs","—",INDEX(Accounts!$O$12:$O$311,MATCH($I80,Accounts!$T$12:$T$311,0))))</f>
        <v/>
      </c>
      <c r="F80" s="30" t="str">
        <f aca="false">IF($I80="","",IF(INDEX(Accounts!$R$12:$R$311,MATCH($I80,Accounts!$T$12:$T$311,0))="Check inputs","—",INDEX(Accounts!$P$12:$P$311,MATCH($I80,Accounts!$T$12:$T$311,0))))</f>
        <v/>
      </c>
      <c r="G80" s="30" t="str">
        <f aca="false">IF($I80="","",IF(INDEX(Accounts!$R$12:$R$311,MATCH($I80,Accounts!$T$12:$T$311,0))="Check inputs","—",INDEX(Accounts!$Q$12:$Q$311,MATCH($I80,Accounts!$T$12:$T$311,0))))</f>
        <v/>
      </c>
      <c r="H80" s="32" t="str">
        <f aca="false">IF($I80="","",IF(INDEX(Accounts!$R$12:$R$311,MATCH($I80,Accounts!$T$12:$T$311,0))="Check inputs","Check inputs: "&amp;INDEX(Accounts!$S$12:$S$311,MATCH($I80,Accounts!$T$12:$T$311,0)),INDEX(Accounts!$R$12:$R$311,MATCH($I80,Accounts!$T$12:$T$311,0))))</f>
        <v/>
      </c>
      <c r="I80" s="33" t="str">
        <f aca="false">IF(72&gt;COUNT(Accounts!$T$12:$T$311),"",SMALL(Accounts!$T$12:$T$311,72))</f>
        <v/>
      </c>
    </row>
    <row r="81" customFormat="false" ht="15" hidden="false" customHeight="false" outlineLevel="0" collapsed="false">
      <c r="A81" s="22" t="str">
        <f aca="false">IF($I81="","",INDEX(Accounts!$A$12:$A$311,MATCH($I81,Accounts!$T$12:$T$311,0))&amp;"")</f>
        <v/>
      </c>
      <c r="B81" s="30" t="str">
        <f aca="false">IF($I81="","",IF(INDEX(Accounts!$R$12:$R$311,MATCH($I81,Accounts!$T$12:$T$311,0))="Check inputs","—",INDEX(Accounts!$B$12:$B$311,MATCH($I81,Accounts!$T$12:$T$311,0))))</f>
        <v/>
      </c>
      <c r="C81" s="30" t="str">
        <f aca="false">IF($I81="","",IF(INDEX(Accounts!$R$12:$R$311,MATCH($I81,Accounts!$T$12:$T$311,0))="Check inputs","—",INDEX(Accounts!$M$12:$M$311,MATCH($I81,Accounts!$T$12:$T$311,0))))</f>
        <v/>
      </c>
      <c r="D81" s="30" t="str">
        <f aca="false">IF($I81="","",IF(INDEX(Accounts!$R$12:$R$311,MATCH($I81,Accounts!$T$12:$T$311,0))="Check inputs","—",INDEX(Accounts!$N$12:$N$311,MATCH($I81,Accounts!$T$12:$T$311,0))))</f>
        <v/>
      </c>
      <c r="E81" s="31" t="str">
        <f aca="false">IF($I81="","",IF(INDEX(Accounts!$R$12:$R$311,MATCH($I81,Accounts!$T$12:$T$311,0))="Check inputs","—",INDEX(Accounts!$O$12:$O$311,MATCH($I81,Accounts!$T$12:$T$311,0))))</f>
        <v/>
      </c>
      <c r="F81" s="30" t="str">
        <f aca="false">IF($I81="","",IF(INDEX(Accounts!$R$12:$R$311,MATCH($I81,Accounts!$T$12:$T$311,0))="Check inputs","—",INDEX(Accounts!$P$12:$P$311,MATCH($I81,Accounts!$T$12:$T$311,0))))</f>
        <v/>
      </c>
      <c r="G81" s="30" t="str">
        <f aca="false">IF($I81="","",IF(INDEX(Accounts!$R$12:$R$311,MATCH($I81,Accounts!$T$12:$T$311,0))="Check inputs","—",INDEX(Accounts!$Q$12:$Q$311,MATCH($I81,Accounts!$T$12:$T$311,0))))</f>
        <v/>
      </c>
      <c r="H81" s="32" t="str">
        <f aca="false">IF($I81="","",IF(INDEX(Accounts!$R$12:$R$311,MATCH($I81,Accounts!$T$12:$T$311,0))="Check inputs","Check inputs: "&amp;INDEX(Accounts!$S$12:$S$311,MATCH($I81,Accounts!$T$12:$T$311,0)),INDEX(Accounts!$R$12:$R$311,MATCH($I81,Accounts!$T$12:$T$311,0))))</f>
        <v/>
      </c>
      <c r="I81" s="33" t="str">
        <f aca="false">IF(73&gt;COUNT(Accounts!$T$12:$T$311),"",SMALL(Accounts!$T$12:$T$311,73))</f>
        <v/>
      </c>
    </row>
    <row r="82" customFormat="false" ht="15" hidden="false" customHeight="false" outlineLevel="0" collapsed="false">
      <c r="A82" s="22" t="str">
        <f aca="false">IF($I82="","",INDEX(Accounts!$A$12:$A$311,MATCH($I82,Accounts!$T$12:$T$311,0))&amp;"")</f>
        <v/>
      </c>
      <c r="B82" s="30" t="str">
        <f aca="false">IF($I82="","",IF(INDEX(Accounts!$R$12:$R$311,MATCH($I82,Accounts!$T$12:$T$311,0))="Check inputs","—",INDEX(Accounts!$B$12:$B$311,MATCH($I82,Accounts!$T$12:$T$311,0))))</f>
        <v/>
      </c>
      <c r="C82" s="30" t="str">
        <f aca="false">IF($I82="","",IF(INDEX(Accounts!$R$12:$R$311,MATCH($I82,Accounts!$T$12:$T$311,0))="Check inputs","—",INDEX(Accounts!$M$12:$M$311,MATCH($I82,Accounts!$T$12:$T$311,0))))</f>
        <v/>
      </c>
      <c r="D82" s="30" t="str">
        <f aca="false">IF($I82="","",IF(INDEX(Accounts!$R$12:$R$311,MATCH($I82,Accounts!$T$12:$T$311,0))="Check inputs","—",INDEX(Accounts!$N$12:$N$311,MATCH($I82,Accounts!$T$12:$T$311,0))))</f>
        <v/>
      </c>
      <c r="E82" s="31" t="str">
        <f aca="false">IF($I82="","",IF(INDEX(Accounts!$R$12:$R$311,MATCH($I82,Accounts!$T$12:$T$311,0))="Check inputs","—",INDEX(Accounts!$O$12:$O$311,MATCH($I82,Accounts!$T$12:$T$311,0))))</f>
        <v/>
      </c>
      <c r="F82" s="30" t="str">
        <f aca="false">IF($I82="","",IF(INDEX(Accounts!$R$12:$R$311,MATCH($I82,Accounts!$T$12:$T$311,0))="Check inputs","—",INDEX(Accounts!$P$12:$P$311,MATCH($I82,Accounts!$T$12:$T$311,0))))</f>
        <v/>
      </c>
      <c r="G82" s="30" t="str">
        <f aca="false">IF($I82="","",IF(INDEX(Accounts!$R$12:$R$311,MATCH($I82,Accounts!$T$12:$T$311,0))="Check inputs","—",INDEX(Accounts!$Q$12:$Q$311,MATCH($I82,Accounts!$T$12:$T$311,0))))</f>
        <v/>
      </c>
      <c r="H82" s="32" t="str">
        <f aca="false">IF($I82="","",IF(INDEX(Accounts!$R$12:$R$311,MATCH($I82,Accounts!$T$12:$T$311,0))="Check inputs","Check inputs: "&amp;INDEX(Accounts!$S$12:$S$311,MATCH($I82,Accounts!$T$12:$T$311,0)),INDEX(Accounts!$R$12:$R$311,MATCH($I82,Accounts!$T$12:$T$311,0))))</f>
        <v/>
      </c>
      <c r="I82" s="33" t="str">
        <f aca="false">IF(74&gt;COUNT(Accounts!$T$12:$T$311),"",SMALL(Accounts!$T$12:$T$311,74))</f>
        <v/>
      </c>
    </row>
    <row r="83" customFormat="false" ht="15" hidden="false" customHeight="false" outlineLevel="0" collapsed="false">
      <c r="A83" s="22" t="str">
        <f aca="false">IF($I83="","",INDEX(Accounts!$A$12:$A$311,MATCH($I83,Accounts!$T$12:$T$311,0))&amp;"")</f>
        <v/>
      </c>
      <c r="B83" s="30" t="str">
        <f aca="false">IF($I83="","",IF(INDEX(Accounts!$R$12:$R$311,MATCH($I83,Accounts!$T$12:$T$311,0))="Check inputs","—",INDEX(Accounts!$B$12:$B$311,MATCH($I83,Accounts!$T$12:$T$311,0))))</f>
        <v/>
      </c>
      <c r="C83" s="30" t="str">
        <f aca="false">IF($I83="","",IF(INDEX(Accounts!$R$12:$R$311,MATCH($I83,Accounts!$T$12:$T$311,0))="Check inputs","—",INDEX(Accounts!$M$12:$M$311,MATCH($I83,Accounts!$T$12:$T$311,0))))</f>
        <v/>
      </c>
      <c r="D83" s="30" t="str">
        <f aca="false">IF($I83="","",IF(INDEX(Accounts!$R$12:$R$311,MATCH($I83,Accounts!$T$12:$T$311,0))="Check inputs","—",INDEX(Accounts!$N$12:$N$311,MATCH($I83,Accounts!$T$12:$T$311,0))))</f>
        <v/>
      </c>
      <c r="E83" s="31" t="str">
        <f aca="false">IF($I83="","",IF(INDEX(Accounts!$R$12:$R$311,MATCH($I83,Accounts!$T$12:$T$311,0))="Check inputs","—",INDEX(Accounts!$O$12:$O$311,MATCH($I83,Accounts!$T$12:$T$311,0))))</f>
        <v/>
      </c>
      <c r="F83" s="30" t="str">
        <f aca="false">IF($I83="","",IF(INDEX(Accounts!$R$12:$R$311,MATCH($I83,Accounts!$T$12:$T$311,0))="Check inputs","—",INDEX(Accounts!$P$12:$P$311,MATCH($I83,Accounts!$T$12:$T$311,0))))</f>
        <v/>
      </c>
      <c r="G83" s="30" t="str">
        <f aca="false">IF($I83="","",IF(INDEX(Accounts!$R$12:$R$311,MATCH($I83,Accounts!$T$12:$T$311,0))="Check inputs","—",INDEX(Accounts!$Q$12:$Q$311,MATCH($I83,Accounts!$T$12:$T$311,0))))</f>
        <v/>
      </c>
      <c r="H83" s="32" t="str">
        <f aca="false">IF($I83="","",IF(INDEX(Accounts!$R$12:$R$311,MATCH($I83,Accounts!$T$12:$T$311,0))="Check inputs","Check inputs: "&amp;INDEX(Accounts!$S$12:$S$311,MATCH($I83,Accounts!$T$12:$T$311,0)),INDEX(Accounts!$R$12:$R$311,MATCH($I83,Accounts!$T$12:$T$311,0))))</f>
        <v/>
      </c>
      <c r="I83" s="33" t="str">
        <f aca="false">IF(75&gt;COUNT(Accounts!$T$12:$T$311),"",SMALL(Accounts!$T$12:$T$311,75))</f>
        <v/>
      </c>
    </row>
    <row r="84" customFormat="false" ht="15" hidden="false" customHeight="false" outlineLevel="0" collapsed="false">
      <c r="A84" s="22" t="str">
        <f aca="false">IF($I84="","",INDEX(Accounts!$A$12:$A$311,MATCH($I84,Accounts!$T$12:$T$311,0))&amp;"")</f>
        <v/>
      </c>
      <c r="B84" s="30" t="str">
        <f aca="false">IF($I84="","",IF(INDEX(Accounts!$R$12:$R$311,MATCH($I84,Accounts!$T$12:$T$311,0))="Check inputs","—",INDEX(Accounts!$B$12:$B$311,MATCH($I84,Accounts!$T$12:$T$311,0))))</f>
        <v/>
      </c>
      <c r="C84" s="30" t="str">
        <f aca="false">IF($I84="","",IF(INDEX(Accounts!$R$12:$R$311,MATCH($I84,Accounts!$T$12:$T$311,0))="Check inputs","—",INDEX(Accounts!$M$12:$M$311,MATCH($I84,Accounts!$T$12:$T$311,0))))</f>
        <v/>
      </c>
      <c r="D84" s="30" t="str">
        <f aca="false">IF($I84="","",IF(INDEX(Accounts!$R$12:$R$311,MATCH($I84,Accounts!$T$12:$T$311,0))="Check inputs","—",INDEX(Accounts!$N$12:$N$311,MATCH($I84,Accounts!$T$12:$T$311,0))))</f>
        <v/>
      </c>
      <c r="E84" s="31" t="str">
        <f aca="false">IF($I84="","",IF(INDEX(Accounts!$R$12:$R$311,MATCH($I84,Accounts!$T$12:$T$311,0))="Check inputs","—",INDEX(Accounts!$O$12:$O$311,MATCH($I84,Accounts!$T$12:$T$311,0))))</f>
        <v/>
      </c>
      <c r="F84" s="30" t="str">
        <f aca="false">IF($I84="","",IF(INDEX(Accounts!$R$12:$R$311,MATCH($I84,Accounts!$T$12:$T$311,0))="Check inputs","—",INDEX(Accounts!$P$12:$P$311,MATCH($I84,Accounts!$T$12:$T$311,0))))</f>
        <v/>
      </c>
      <c r="G84" s="30" t="str">
        <f aca="false">IF($I84="","",IF(INDEX(Accounts!$R$12:$R$311,MATCH($I84,Accounts!$T$12:$T$311,0))="Check inputs","—",INDEX(Accounts!$Q$12:$Q$311,MATCH($I84,Accounts!$T$12:$T$311,0))))</f>
        <v/>
      </c>
      <c r="H84" s="32" t="str">
        <f aca="false">IF($I84="","",IF(INDEX(Accounts!$R$12:$R$311,MATCH($I84,Accounts!$T$12:$T$311,0))="Check inputs","Check inputs: "&amp;INDEX(Accounts!$S$12:$S$311,MATCH($I84,Accounts!$T$12:$T$311,0)),INDEX(Accounts!$R$12:$R$311,MATCH($I84,Accounts!$T$12:$T$311,0))))</f>
        <v/>
      </c>
      <c r="I84" s="33" t="str">
        <f aca="false">IF(76&gt;COUNT(Accounts!$T$12:$T$311),"",SMALL(Accounts!$T$12:$T$311,76))</f>
        <v/>
      </c>
    </row>
    <row r="85" customFormat="false" ht="15" hidden="false" customHeight="false" outlineLevel="0" collapsed="false">
      <c r="A85" s="22" t="str">
        <f aca="false">IF($I85="","",INDEX(Accounts!$A$12:$A$311,MATCH($I85,Accounts!$T$12:$T$311,0))&amp;"")</f>
        <v/>
      </c>
      <c r="B85" s="30" t="str">
        <f aca="false">IF($I85="","",IF(INDEX(Accounts!$R$12:$R$311,MATCH($I85,Accounts!$T$12:$T$311,0))="Check inputs","—",INDEX(Accounts!$B$12:$B$311,MATCH($I85,Accounts!$T$12:$T$311,0))))</f>
        <v/>
      </c>
      <c r="C85" s="30" t="str">
        <f aca="false">IF($I85="","",IF(INDEX(Accounts!$R$12:$R$311,MATCH($I85,Accounts!$T$12:$T$311,0))="Check inputs","—",INDEX(Accounts!$M$12:$M$311,MATCH($I85,Accounts!$T$12:$T$311,0))))</f>
        <v/>
      </c>
      <c r="D85" s="30" t="str">
        <f aca="false">IF($I85="","",IF(INDEX(Accounts!$R$12:$R$311,MATCH($I85,Accounts!$T$12:$T$311,0))="Check inputs","—",INDEX(Accounts!$N$12:$N$311,MATCH($I85,Accounts!$T$12:$T$311,0))))</f>
        <v/>
      </c>
      <c r="E85" s="31" t="str">
        <f aca="false">IF($I85="","",IF(INDEX(Accounts!$R$12:$R$311,MATCH($I85,Accounts!$T$12:$T$311,0))="Check inputs","—",INDEX(Accounts!$O$12:$O$311,MATCH($I85,Accounts!$T$12:$T$311,0))))</f>
        <v/>
      </c>
      <c r="F85" s="30" t="str">
        <f aca="false">IF($I85="","",IF(INDEX(Accounts!$R$12:$R$311,MATCH($I85,Accounts!$T$12:$T$311,0))="Check inputs","—",INDEX(Accounts!$P$12:$P$311,MATCH($I85,Accounts!$T$12:$T$311,0))))</f>
        <v/>
      </c>
      <c r="G85" s="30" t="str">
        <f aca="false">IF($I85="","",IF(INDEX(Accounts!$R$12:$R$311,MATCH($I85,Accounts!$T$12:$T$311,0))="Check inputs","—",INDEX(Accounts!$Q$12:$Q$311,MATCH($I85,Accounts!$T$12:$T$311,0))))</f>
        <v/>
      </c>
      <c r="H85" s="32" t="str">
        <f aca="false">IF($I85="","",IF(INDEX(Accounts!$R$12:$R$311,MATCH($I85,Accounts!$T$12:$T$311,0))="Check inputs","Check inputs: "&amp;INDEX(Accounts!$S$12:$S$311,MATCH($I85,Accounts!$T$12:$T$311,0)),INDEX(Accounts!$R$12:$R$311,MATCH($I85,Accounts!$T$12:$T$311,0))))</f>
        <v/>
      </c>
      <c r="I85" s="33" t="str">
        <f aca="false">IF(77&gt;COUNT(Accounts!$T$12:$T$311),"",SMALL(Accounts!$T$12:$T$311,77))</f>
        <v/>
      </c>
    </row>
    <row r="86" customFormat="false" ht="15" hidden="false" customHeight="false" outlineLevel="0" collapsed="false">
      <c r="A86" s="22" t="str">
        <f aca="false">IF($I86="","",INDEX(Accounts!$A$12:$A$311,MATCH($I86,Accounts!$T$12:$T$311,0))&amp;"")</f>
        <v/>
      </c>
      <c r="B86" s="30" t="str">
        <f aca="false">IF($I86="","",IF(INDEX(Accounts!$R$12:$R$311,MATCH($I86,Accounts!$T$12:$T$311,0))="Check inputs","—",INDEX(Accounts!$B$12:$B$311,MATCH($I86,Accounts!$T$12:$T$311,0))))</f>
        <v/>
      </c>
      <c r="C86" s="30" t="str">
        <f aca="false">IF($I86="","",IF(INDEX(Accounts!$R$12:$R$311,MATCH($I86,Accounts!$T$12:$T$311,0))="Check inputs","—",INDEX(Accounts!$M$12:$M$311,MATCH($I86,Accounts!$T$12:$T$311,0))))</f>
        <v/>
      </c>
      <c r="D86" s="30" t="str">
        <f aca="false">IF($I86="","",IF(INDEX(Accounts!$R$12:$R$311,MATCH($I86,Accounts!$T$12:$T$311,0))="Check inputs","—",INDEX(Accounts!$N$12:$N$311,MATCH($I86,Accounts!$T$12:$T$311,0))))</f>
        <v/>
      </c>
      <c r="E86" s="31" t="str">
        <f aca="false">IF($I86="","",IF(INDEX(Accounts!$R$12:$R$311,MATCH($I86,Accounts!$T$12:$T$311,0))="Check inputs","—",INDEX(Accounts!$O$12:$O$311,MATCH($I86,Accounts!$T$12:$T$311,0))))</f>
        <v/>
      </c>
      <c r="F86" s="30" t="str">
        <f aca="false">IF($I86="","",IF(INDEX(Accounts!$R$12:$R$311,MATCH($I86,Accounts!$T$12:$T$311,0))="Check inputs","—",INDEX(Accounts!$P$12:$P$311,MATCH($I86,Accounts!$T$12:$T$311,0))))</f>
        <v/>
      </c>
      <c r="G86" s="30" t="str">
        <f aca="false">IF($I86="","",IF(INDEX(Accounts!$R$12:$R$311,MATCH($I86,Accounts!$T$12:$T$311,0))="Check inputs","—",INDEX(Accounts!$Q$12:$Q$311,MATCH($I86,Accounts!$T$12:$T$311,0))))</f>
        <v/>
      </c>
      <c r="H86" s="32" t="str">
        <f aca="false">IF($I86="","",IF(INDEX(Accounts!$R$12:$R$311,MATCH($I86,Accounts!$T$12:$T$311,0))="Check inputs","Check inputs: "&amp;INDEX(Accounts!$S$12:$S$311,MATCH($I86,Accounts!$T$12:$T$311,0)),INDEX(Accounts!$R$12:$R$311,MATCH($I86,Accounts!$T$12:$T$311,0))))</f>
        <v/>
      </c>
      <c r="I86" s="33" t="str">
        <f aca="false">IF(78&gt;COUNT(Accounts!$T$12:$T$311),"",SMALL(Accounts!$T$12:$T$311,78))</f>
        <v/>
      </c>
    </row>
    <row r="87" customFormat="false" ht="15" hidden="false" customHeight="false" outlineLevel="0" collapsed="false">
      <c r="A87" s="22" t="str">
        <f aca="false">IF($I87="","",INDEX(Accounts!$A$12:$A$311,MATCH($I87,Accounts!$T$12:$T$311,0))&amp;"")</f>
        <v/>
      </c>
      <c r="B87" s="30" t="str">
        <f aca="false">IF($I87="","",IF(INDEX(Accounts!$R$12:$R$311,MATCH($I87,Accounts!$T$12:$T$311,0))="Check inputs","—",INDEX(Accounts!$B$12:$B$311,MATCH($I87,Accounts!$T$12:$T$311,0))))</f>
        <v/>
      </c>
      <c r="C87" s="30" t="str">
        <f aca="false">IF($I87="","",IF(INDEX(Accounts!$R$12:$R$311,MATCH($I87,Accounts!$T$12:$T$311,0))="Check inputs","—",INDEX(Accounts!$M$12:$M$311,MATCH($I87,Accounts!$T$12:$T$311,0))))</f>
        <v/>
      </c>
      <c r="D87" s="30" t="str">
        <f aca="false">IF($I87="","",IF(INDEX(Accounts!$R$12:$R$311,MATCH($I87,Accounts!$T$12:$T$311,0))="Check inputs","—",INDEX(Accounts!$N$12:$N$311,MATCH($I87,Accounts!$T$12:$T$311,0))))</f>
        <v/>
      </c>
      <c r="E87" s="31" t="str">
        <f aca="false">IF($I87="","",IF(INDEX(Accounts!$R$12:$R$311,MATCH($I87,Accounts!$T$12:$T$311,0))="Check inputs","—",INDEX(Accounts!$O$12:$O$311,MATCH($I87,Accounts!$T$12:$T$311,0))))</f>
        <v/>
      </c>
      <c r="F87" s="30" t="str">
        <f aca="false">IF($I87="","",IF(INDEX(Accounts!$R$12:$R$311,MATCH($I87,Accounts!$T$12:$T$311,0))="Check inputs","—",INDEX(Accounts!$P$12:$P$311,MATCH($I87,Accounts!$T$12:$T$311,0))))</f>
        <v/>
      </c>
      <c r="G87" s="30" t="str">
        <f aca="false">IF($I87="","",IF(INDEX(Accounts!$R$12:$R$311,MATCH($I87,Accounts!$T$12:$T$311,0))="Check inputs","—",INDEX(Accounts!$Q$12:$Q$311,MATCH($I87,Accounts!$T$12:$T$311,0))))</f>
        <v/>
      </c>
      <c r="H87" s="32" t="str">
        <f aca="false">IF($I87="","",IF(INDEX(Accounts!$R$12:$R$311,MATCH($I87,Accounts!$T$12:$T$311,0))="Check inputs","Check inputs: "&amp;INDEX(Accounts!$S$12:$S$311,MATCH($I87,Accounts!$T$12:$T$311,0)),INDEX(Accounts!$R$12:$R$311,MATCH($I87,Accounts!$T$12:$T$311,0))))</f>
        <v/>
      </c>
      <c r="I87" s="33" t="str">
        <f aca="false">IF(79&gt;COUNT(Accounts!$T$12:$T$311),"",SMALL(Accounts!$T$12:$T$311,79))</f>
        <v/>
      </c>
    </row>
    <row r="88" customFormat="false" ht="15" hidden="false" customHeight="false" outlineLevel="0" collapsed="false">
      <c r="A88" s="22" t="str">
        <f aca="false">IF($I88="","",INDEX(Accounts!$A$12:$A$311,MATCH($I88,Accounts!$T$12:$T$311,0))&amp;"")</f>
        <v/>
      </c>
      <c r="B88" s="30" t="str">
        <f aca="false">IF($I88="","",IF(INDEX(Accounts!$R$12:$R$311,MATCH($I88,Accounts!$T$12:$T$311,0))="Check inputs","—",INDEX(Accounts!$B$12:$B$311,MATCH($I88,Accounts!$T$12:$T$311,0))))</f>
        <v/>
      </c>
      <c r="C88" s="30" t="str">
        <f aca="false">IF($I88="","",IF(INDEX(Accounts!$R$12:$R$311,MATCH($I88,Accounts!$T$12:$T$311,0))="Check inputs","—",INDEX(Accounts!$M$12:$M$311,MATCH($I88,Accounts!$T$12:$T$311,0))))</f>
        <v/>
      </c>
      <c r="D88" s="30" t="str">
        <f aca="false">IF($I88="","",IF(INDEX(Accounts!$R$12:$R$311,MATCH($I88,Accounts!$T$12:$T$311,0))="Check inputs","—",INDEX(Accounts!$N$12:$N$311,MATCH($I88,Accounts!$T$12:$T$311,0))))</f>
        <v/>
      </c>
      <c r="E88" s="31" t="str">
        <f aca="false">IF($I88="","",IF(INDEX(Accounts!$R$12:$R$311,MATCH($I88,Accounts!$T$12:$T$311,0))="Check inputs","—",INDEX(Accounts!$O$12:$O$311,MATCH($I88,Accounts!$T$12:$T$311,0))))</f>
        <v/>
      </c>
      <c r="F88" s="30" t="str">
        <f aca="false">IF($I88="","",IF(INDEX(Accounts!$R$12:$R$311,MATCH($I88,Accounts!$T$12:$T$311,0))="Check inputs","—",INDEX(Accounts!$P$12:$P$311,MATCH($I88,Accounts!$T$12:$T$311,0))))</f>
        <v/>
      </c>
      <c r="G88" s="30" t="str">
        <f aca="false">IF($I88="","",IF(INDEX(Accounts!$R$12:$R$311,MATCH($I88,Accounts!$T$12:$T$311,0))="Check inputs","—",INDEX(Accounts!$Q$12:$Q$311,MATCH($I88,Accounts!$T$12:$T$311,0))))</f>
        <v/>
      </c>
      <c r="H88" s="32" t="str">
        <f aca="false">IF($I88="","",IF(INDEX(Accounts!$R$12:$R$311,MATCH($I88,Accounts!$T$12:$T$311,0))="Check inputs","Check inputs: "&amp;INDEX(Accounts!$S$12:$S$311,MATCH($I88,Accounts!$T$12:$T$311,0)),INDEX(Accounts!$R$12:$R$311,MATCH($I88,Accounts!$T$12:$T$311,0))))</f>
        <v/>
      </c>
      <c r="I88" s="33" t="str">
        <f aca="false">IF(80&gt;COUNT(Accounts!$T$12:$T$311),"",SMALL(Accounts!$T$12:$T$311,80))</f>
        <v/>
      </c>
    </row>
    <row r="89" customFormat="false" ht="15" hidden="false" customHeight="false" outlineLevel="0" collapsed="false">
      <c r="A89" s="22" t="str">
        <f aca="false">IF($I89="","",INDEX(Accounts!$A$12:$A$311,MATCH($I89,Accounts!$T$12:$T$311,0))&amp;"")</f>
        <v/>
      </c>
      <c r="B89" s="30" t="str">
        <f aca="false">IF($I89="","",IF(INDEX(Accounts!$R$12:$R$311,MATCH($I89,Accounts!$T$12:$T$311,0))="Check inputs","—",INDEX(Accounts!$B$12:$B$311,MATCH($I89,Accounts!$T$12:$T$311,0))))</f>
        <v/>
      </c>
      <c r="C89" s="30" t="str">
        <f aca="false">IF($I89="","",IF(INDEX(Accounts!$R$12:$R$311,MATCH($I89,Accounts!$T$12:$T$311,0))="Check inputs","—",INDEX(Accounts!$M$12:$M$311,MATCH($I89,Accounts!$T$12:$T$311,0))))</f>
        <v/>
      </c>
      <c r="D89" s="30" t="str">
        <f aca="false">IF($I89="","",IF(INDEX(Accounts!$R$12:$R$311,MATCH($I89,Accounts!$T$12:$T$311,0))="Check inputs","—",INDEX(Accounts!$N$12:$N$311,MATCH($I89,Accounts!$T$12:$T$311,0))))</f>
        <v/>
      </c>
      <c r="E89" s="31" t="str">
        <f aca="false">IF($I89="","",IF(INDEX(Accounts!$R$12:$R$311,MATCH($I89,Accounts!$T$12:$T$311,0))="Check inputs","—",INDEX(Accounts!$O$12:$O$311,MATCH($I89,Accounts!$T$12:$T$311,0))))</f>
        <v/>
      </c>
      <c r="F89" s="30" t="str">
        <f aca="false">IF($I89="","",IF(INDEX(Accounts!$R$12:$R$311,MATCH($I89,Accounts!$T$12:$T$311,0))="Check inputs","—",INDEX(Accounts!$P$12:$P$311,MATCH($I89,Accounts!$T$12:$T$311,0))))</f>
        <v/>
      </c>
      <c r="G89" s="30" t="str">
        <f aca="false">IF($I89="","",IF(INDEX(Accounts!$R$12:$R$311,MATCH($I89,Accounts!$T$12:$T$311,0))="Check inputs","—",INDEX(Accounts!$Q$12:$Q$311,MATCH($I89,Accounts!$T$12:$T$311,0))))</f>
        <v/>
      </c>
      <c r="H89" s="32" t="str">
        <f aca="false">IF($I89="","",IF(INDEX(Accounts!$R$12:$R$311,MATCH($I89,Accounts!$T$12:$T$311,0))="Check inputs","Check inputs: "&amp;INDEX(Accounts!$S$12:$S$311,MATCH($I89,Accounts!$T$12:$T$311,0)),INDEX(Accounts!$R$12:$R$311,MATCH($I89,Accounts!$T$12:$T$311,0))))</f>
        <v/>
      </c>
      <c r="I89" s="33" t="str">
        <f aca="false">IF(81&gt;COUNT(Accounts!$T$12:$T$311),"",SMALL(Accounts!$T$12:$T$311,81))</f>
        <v/>
      </c>
    </row>
    <row r="90" customFormat="false" ht="15" hidden="false" customHeight="false" outlineLevel="0" collapsed="false">
      <c r="A90" s="22" t="str">
        <f aca="false">IF($I90="","",INDEX(Accounts!$A$12:$A$311,MATCH($I90,Accounts!$T$12:$T$311,0))&amp;"")</f>
        <v/>
      </c>
      <c r="B90" s="30" t="str">
        <f aca="false">IF($I90="","",IF(INDEX(Accounts!$R$12:$R$311,MATCH($I90,Accounts!$T$12:$T$311,0))="Check inputs","—",INDEX(Accounts!$B$12:$B$311,MATCH($I90,Accounts!$T$12:$T$311,0))))</f>
        <v/>
      </c>
      <c r="C90" s="30" t="str">
        <f aca="false">IF($I90="","",IF(INDEX(Accounts!$R$12:$R$311,MATCH($I90,Accounts!$T$12:$T$311,0))="Check inputs","—",INDEX(Accounts!$M$12:$M$311,MATCH($I90,Accounts!$T$12:$T$311,0))))</f>
        <v/>
      </c>
      <c r="D90" s="30" t="str">
        <f aca="false">IF($I90="","",IF(INDEX(Accounts!$R$12:$R$311,MATCH($I90,Accounts!$T$12:$T$311,0))="Check inputs","—",INDEX(Accounts!$N$12:$N$311,MATCH($I90,Accounts!$T$12:$T$311,0))))</f>
        <v/>
      </c>
      <c r="E90" s="31" t="str">
        <f aca="false">IF($I90="","",IF(INDEX(Accounts!$R$12:$R$311,MATCH($I90,Accounts!$T$12:$T$311,0))="Check inputs","—",INDEX(Accounts!$O$12:$O$311,MATCH($I90,Accounts!$T$12:$T$311,0))))</f>
        <v/>
      </c>
      <c r="F90" s="30" t="str">
        <f aca="false">IF($I90="","",IF(INDEX(Accounts!$R$12:$R$311,MATCH($I90,Accounts!$T$12:$T$311,0))="Check inputs","—",INDEX(Accounts!$P$12:$P$311,MATCH($I90,Accounts!$T$12:$T$311,0))))</f>
        <v/>
      </c>
      <c r="G90" s="30" t="str">
        <f aca="false">IF($I90="","",IF(INDEX(Accounts!$R$12:$R$311,MATCH($I90,Accounts!$T$12:$T$311,0))="Check inputs","—",INDEX(Accounts!$Q$12:$Q$311,MATCH($I90,Accounts!$T$12:$T$311,0))))</f>
        <v/>
      </c>
      <c r="H90" s="32" t="str">
        <f aca="false">IF($I90="","",IF(INDEX(Accounts!$R$12:$R$311,MATCH($I90,Accounts!$T$12:$T$311,0))="Check inputs","Check inputs: "&amp;INDEX(Accounts!$S$12:$S$311,MATCH($I90,Accounts!$T$12:$T$311,0)),INDEX(Accounts!$R$12:$R$311,MATCH($I90,Accounts!$T$12:$T$311,0))))</f>
        <v/>
      </c>
      <c r="I90" s="33" t="str">
        <f aca="false">IF(82&gt;COUNT(Accounts!$T$12:$T$311),"",SMALL(Accounts!$T$12:$T$311,82))</f>
        <v/>
      </c>
    </row>
    <row r="91" customFormat="false" ht="15" hidden="false" customHeight="false" outlineLevel="0" collapsed="false">
      <c r="A91" s="22" t="str">
        <f aca="false">IF($I91="","",INDEX(Accounts!$A$12:$A$311,MATCH($I91,Accounts!$T$12:$T$311,0))&amp;"")</f>
        <v/>
      </c>
      <c r="B91" s="30" t="str">
        <f aca="false">IF($I91="","",IF(INDEX(Accounts!$R$12:$R$311,MATCH($I91,Accounts!$T$12:$T$311,0))="Check inputs","—",INDEX(Accounts!$B$12:$B$311,MATCH($I91,Accounts!$T$12:$T$311,0))))</f>
        <v/>
      </c>
      <c r="C91" s="30" t="str">
        <f aca="false">IF($I91="","",IF(INDEX(Accounts!$R$12:$R$311,MATCH($I91,Accounts!$T$12:$T$311,0))="Check inputs","—",INDEX(Accounts!$M$12:$M$311,MATCH($I91,Accounts!$T$12:$T$311,0))))</f>
        <v/>
      </c>
      <c r="D91" s="30" t="str">
        <f aca="false">IF($I91="","",IF(INDEX(Accounts!$R$12:$R$311,MATCH($I91,Accounts!$T$12:$T$311,0))="Check inputs","—",INDEX(Accounts!$N$12:$N$311,MATCH($I91,Accounts!$T$12:$T$311,0))))</f>
        <v/>
      </c>
      <c r="E91" s="31" t="str">
        <f aca="false">IF($I91="","",IF(INDEX(Accounts!$R$12:$R$311,MATCH($I91,Accounts!$T$12:$T$311,0))="Check inputs","—",INDEX(Accounts!$O$12:$O$311,MATCH($I91,Accounts!$T$12:$T$311,0))))</f>
        <v/>
      </c>
      <c r="F91" s="30" t="str">
        <f aca="false">IF($I91="","",IF(INDEX(Accounts!$R$12:$R$311,MATCH($I91,Accounts!$T$12:$T$311,0))="Check inputs","—",INDEX(Accounts!$P$12:$P$311,MATCH($I91,Accounts!$T$12:$T$311,0))))</f>
        <v/>
      </c>
      <c r="G91" s="30" t="str">
        <f aca="false">IF($I91="","",IF(INDEX(Accounts!$R$12:$R$311,MATCH($I91,Accounts!$T$12:$T$311,0))="Check inputs","—",INDEX(Accounts!$Q$12:$Q$311,MATCH($I91,Accounts!$T$12:$T$311,0))))</f>
        <v/>
      </c>
      <c r="H91" s="32" t="str">
        <f aca="false">IF($I91="","",IF(INDEX(Accounts!$R$12:$R$311,MATCH($I91,Accounts!$T$12:$T$311,0))="Check inputs","Check inputs: "&amp;INDEX(Accounts!$S$12:$S$311,MATCH($I91,Accounts!$T$12:$T$311,0)),INDEX(Accounts!$R$12:$R$311,MATCH($I91,Accounts!$T$12:$T$311,0))))</f>
        <v/>
      </c>
      <c r="I91" s="33" t="str">
        <f aca="false">IF(83&gt;COUNT(Accounts!$T$12:$T$311),"",SMALL(Accounts!$T$12:$T$311,83))</f>
        <v/>
      </c>
    </row>
    <row r="92" customFormat="false" ht="15" hidden="false" customHeight="false" outlineLevel="0" collapsed="false">
      <c r="A92" s="22" t="str">
        <f aca="false">IF($I92="","",INDEX(Accounts!$A$12:$A$311,MATCH($I92,Accounts!$T$12:$T$311,0))&amp;"")</f>
        <v/>
      </c>
      <c r="B92" s="30" t="str">
        <f aca="false">IF($I92="","",IF(INDEX(Accounts!$R$12:$R$311,MATCH($I92,Accounts!$T$12:$T$311,0))="Check inputs","—",INDEX(Accounts!$B$12:$B$311,MATCH($I92,Accounts!$T$12:$T$311,0))))</f>
        <v/>
      </c>
      <c r="C92" s="30" t="str">
        <f aca="false">IF($I92="","",IF(INDEX(Accounts!$R$12:$R$311,MATCH($I92,Accounts!$T$12:$T$311,0))="Check inputs","—",INDEX(Accounts!$M$12:$M$311,MATCH($I92,Accounts!$T$12:$T$311,0))))</f>
        <v/>
      </c>
      <c r="D92" s="30" t="str">
        <f aca="false">IF($I92="","",IF(INDEX(Accounts!$R$12:$R$311,MATCH($I92,Accounts!$T$12:$T$311,0))="Check inputs","—",INDEX(Accounts!$N$12:$N$311,MATCH($I92,Accounts!$T$12:$T$311,0))))</f>
        <v/>
      </c>
      <c r="E92" s="31" t="str">
        <f aca="false">IF($I92="","",IF(INDEX(Accounts!$R$12:$R$311,MATCH($I92,Accounts!$T$12:$T$311,0))="Check inputs","—",INDEX(Accounts!$O$12:$O$311,MATCH($I92,Accounts!$T$12:$T$311,0))))</f>
        <v/>
      </c>
      <c r="F92" s="30" t="str">
        <f aca="false">IF($I92="","",IF(INDEX(Accounts!$R$12:$R$311,MATCH($I92,Accounts!$T$12:$T$311,0))="Check inputs","—",INDEX(Accounts!$P$12:$P$311,MATCH($I92,Accounts!$T$12:$T$311,0))))</f>
        <v/>
      </c>
      <c r="G92" s="30" t="str">
        <f aca="false">IF($I92="","",IF(INDEX(Accounts!$R$12:$R$311,MATCH($I92,Accounts!$T$12:$T$311,0))="Check inputs","—",INDEX(Accounts!$Q$12:$Q$311,MATCH($I92,Accounts!$T$12:$T$311,0))))</f>
        <v/>
      </c>
      <c r="H92" s="32" t="str">
        <f aca="false">IF($I92="","",IF(INDEX(Accounts!$R$12:$R$311,MATCH($I92,Accounts!$T$12:$T$311,0))="Check inputs","Check inputs: "&amp;INDEX(Accounts!$S$12:$S$311,MATCH($I92,Accounts!$T$12:$T$311,0)),INDEX(Accounts!$R$12:$R$311,MATCH($I92,Accounts!$T$12:$T$311,0))))</f>
        <v/>
      </c>
      <c r="I92" s="33" t="str">
        <f aca="false">IF(84&gt;COUNT(Accounts!$T$12:$T$311),"",SMALL(Accounts!$T$12:$T$311,84))</f>
        <v/>
      </c>
    </row>
    <row r="93" customFormat="false" ht="15" hidden="false" customHeight="false" outlineLevel="0" collapsed="false">
      <c r="A93" s="22" t="str">
        <f aca="false">IF($I93="","",INDEX(Accounts!$A$12:$A$311,MATCH($I93,Accounts!$T$12:$T$311,0))&amp;"")</f>
        <v/>
      </c>
      <c r="B93" s="30" t="str">
        <f aca="false">IF($I93="","",IF(INDEX(Accounts!$R$12:$R$311,MATCH($I93,Accounts!$T$12:$T$311,0))="Check inputs","—",INDEX(Accounts!$B$12:$B$311,MATCH($I93,Accounts!$T$12:$T$311,0))))</f>
        <v/>
      </c>
      <c r="C93" s="30" t="str">
        <f aca="false">IF($I93="","",IF(INDEX(Accounts!$R$12:$R$311,MATCH($I93,Accounts!$T$12:$T$311,0))="Check inputs","—",INDEX(Accounts!$M$12:$M$311,MATCH($I93,Accounts!$T$12:$T$311,0))))</f>
        <v/>
      </c>
      <c r="D93" s="30" t="str">
        <f aca="false">IF($I93="","",IF(INDEX(Accounts!$R$12:$R$311,MATCH($I93,Accounts!$T$12:$T$311,0))="Check inputs","—",INDEX(Accounts!$N$12:$N$311,MATCH($I93,Accounts!$T$12:$T$311,0))))</f>
        <v/>
      </c>
      <c r="E93" s="31" t="str">
        <f aca="false">IF($I93="","",IF(INDEX(Accounts!$R$12:$R$311,MATCH($I93,Accounts!$T$12:$T$311,0))="Check inputs","—",INDEX(Accounts!$O$12:$O$311,MATCH($I93,Accounts!$T$12:$T$311,0))))</f>
        <v/>
      </c>
      <c r="F93" s="30" t="str">
        <f aca="false">IF($I93="","",IF(INDEX(Accounts!$R$12:$R$311,MATCH($I93,Accounts!$T$12:$T$311,0))="Check inputs","—",INDEX(Accounts!$P$12:$P$311,MATCH($I93,Accounts!$T$12:$T$311,0))))</f>
        <v/>
      </c>
      <c r="G93" s="30" t="str">
        <f aca="false">IF($I93="","",IF(INDEX(Accounts!$R$12:$R$311,MATCH($I93,Accounts!$T$12:$T$311,0))="Check inputs","—",INDEX(Accounts!$Q$12:$Q$311,MATCH($I93,Accounts!$T$12:$T$311,0))))</f>
        <v/>
      </c>
      <c r="H93" s="32" t="str">
        <f aca="false">IF($I93="","",IF(INDEX(Accounts!$R$12:$R$311,MATCH($I93,Accounts!$T$12:$T$311,0))="Check inputs","Check inputs: "&amp;INDEX(Accounts!$S$12:$S$311,MATCH($I93,Accounts!$T$12:$T$311,0)),INDEX(Accounts!$R$12:$R$311,MATCH($I93,Accounts!$T$12:$T$311,0))))</f>
        <v/>
      </c>
      <c r="I93" s="33" t="str">
        <f aca="false">IF(85&gt;COUNT(Accounts!$T$12:$T$311),"",SMALL(Accounts!$T$12:$T$311,85))</f>
        <v/>
      </c>
    </row>
    <row r="94" customFormat="false" ht="15" hidden="false" customHeight="false" outlineLevel="0" collapsed="false">
      <c r="A94" s="22" t="str">
        <f aca="false">IF($I94="","",INDEX(Accounts!$A$12:$A$311,MATCH($I94,Accounts!$T$12:$T$311,0))&amp;"")</f>
        <v/>
      </c>
      <c r="B94" s="30" t="str">
        <f aca="false">IF($I94="","",IF(INDEX(Accounts!$R$12:$R$311,MATCH($I94,Accounts!$T$12:$T$311,0))="Check inputs","—",INDEX(Accounts!$B$12:$B$311,MATCH($I94,Accounts!$T$12:$T$311,0))))</f>
        <v/>
      </c>
      <c r="C94" s="30" t="str">
        <f aca="false">IF($I94="","",IF(INDEX(Accounts!$R$12:$R$311,MATCH($I94,Accounts!$T$12:$T$311,0))="Check inputs","—",INDEX(Accounts!$M$12:$M$311,MATCH($I94,Accounts!$T$12:$T$311,0))))</f>
        <v/>
      </c>
      <c r="D94" s="30" t="str">
        <f aca="false">IF($I94="","",IF(INDEX(Accounts!$R$12:$R$311,MATCH($I94,Accounts!$T$12:$T$311,0))="Check inputs","—",INDEX(Accounts!$N$12:$N$311,MATCH($I94,Accounts!$T$12:$T$311,0))))</f>
        <v/>
      </c>
      <c r="E94" s="31" t="str">
        <f aca="false">IF($I94="","",IF(INDEX(Accounts!$R$12:$R$311,MATCH($I94,Accounts!$T$12:$T$311,0))="Check inputs","—",INDEX(Accounts!$O$12:$O$311,MATCH($I94,Accounts!$T$12:$T$311,0))))</f>
        <v/>
      </c>
      <c r="F94" s="30" t="str">
        <f aca="false">IF($I94="","",IF(INDEX(Accounts!$R$12:$R$311,MATCH($I94,Accounts!$T$12:$T$311,0))="Check inputs","—",INDEX(Accounts!$P$12:$P$311,MATCH($I94,Accounts!$T$12:$T$311,0))))</f>
        <v/>
      </c>
      <c r="G94" s="30" t="str">
        <f aca="false">IF($I94="","",IF(INDEX(Accounts!$R$12:$R$311,MATCH($I94,Accounts!$T$12:$T$311,0))="Check inputs","—",INDEX(Accounts!$Q$12:$Q$311,MATCH($I94,Accounts!$T$12:$T$311,0))))</f>
        <v/>
      </c>
      <c r="H94" s="32" t="str">
        <f aca="false">IF($I94="","",IF(INDEX(Accounts!$R$12:$R$311,MATCH($I94,Accounts!$T$12:$T$311,0))="Check inputs","Check inputs: "&amp;INDEX(Accounts!$S$12:$S$311,MATCH($I94,Accounts!$T$12:$T$311,0)),INDEX(Accounts!$R$12:$R$311,MATCH($I94,Accounts!$T$12:$T$311,0))))</f>
        <v/>
      </c>
      <c r="I94" s="33" t="str">
        <f aca="false">IF(86&gt;COUNT(Accounts!$T$12:$T$311),"",SMALL(Accounts!$T$12:$T$311,86))</f>
        <v/>
      </c>
    </row>
    <row r="95" customFormat="false" ht="15" hidden="false" customHeight="false" outlineLevel="0" collapsed="false">
      <c r="A95" s="22" t="str">
        <f aca="false">IF($I95="","",INDEX(Accounts!$A$12:$A$311,MATCH($I95,Accounts!$T$12:$T$311,0))&amp;"")</f>
        <v/>
      </c>
      <c r="B95" s="30" t="str">
        <f aca="false">IF($I95="","",IF(INDEX(Accounts!$R$12:$R$311,MATCH($I95,Accounts!$T$12:$T$311,0))="Check inputs","—",INDEX(Accounts!$B$12:$B$311,MATCH($I95,Accounts!$T$12:$T$311,0))))</f>
        <v/>
      </c>
      <c r="C95" s="30" t="str">
        <f aca="false">IF($I95="","",IF(INDEX(Accounts!$R$12:$R$311,MATCH($I95,Accounts!$T$12:$T$311,0))="Check inputs","—",INDEX(Accounts!$M$12:$M$311,MATCH($I95,Accounts!$T$12:$T$311,0))))</f>
        <v/>
      </c>
      <c r="D95" s="30" t="str">
        <f aca="false">IF($I95="","",IF(INDEX(Accounts!$R$12:$R$311,MATCH($I95,Accounts!$T$12:$T$311,0))="Check inputs","—",INDEX(Accounts!$N$12:$N$311,MATCH($I95,Accounts!$T$12:$T$311,0))))</f>
        <v/>
      </c>
      <c r="E95" s="31" t="str">
        <f aca="false">IF($I95="","",IF(INDEX(Accounts!$R$12:$R$311,MATCH($I95,Accounts!$T$12:$T$311,0))="Check inputs","—",INDEX(Accounts!$O$12:$O$311,MATCH($I95,Accounts!$T$12:$T$311,0))))</f>
        <v/>
      </c>
      <c r="F95" s="30" t="str">
        <f aca="false">IF($I95="","",IF(INDEX(Accounts!$R$12:$R$311,MATCH($I95,Accounts!$T$12:$T$311,0))="Check inputs","—",INDEX(Accounts!$P$12:$P$311,MATCH($I95,Accounts!$T$12:$T$311,0))))</f>
        <v/>
      </c>
      <c r="G95" s="30" t="str">
        <f aca="false">IF($I95="","",IF(INDEX(Accounts!$R$12:$R$311,MATCH($I95,Accounts!$T$12:$T$311,0))="Check inputs","—",INDEX(Accounts!$Q$12:$Q$311,MATCH($I95,Accounts!$T$12:$T$311,0))))</f>
        <v/>
      </c>
      <c r="H95" s="32" t="str">
        <f aca="false">IF($I95="","",IF(INDEX(Accounts!$R$12:$R$311,MATCH($I95,Accounts!$T$12:$T$311,0))="Check inputs","Check inputs: "&amp;INDEX(Accounts!$S$12:$S$311,MATCH($I95,Accounts!$T$12:$T$311,0)),INDEX(Accounts!$R$12:$R$311,MATCH($I95,Accounts!$T$12:$T$311,0))))</f>
        <v/>
      </c>
      <c r="I95" s="33" t="str">
        <f aca="false">IF(87&gt;COUNT(Accounts!$T$12:$T$311),"",SMALL(Accounts!$T$12:$T$311,87))</f>
        <v/>
      </c>
    </row>
    <row r="96" customFormat="false" ht="15" hidden="false" customHeight="false" outlineLevel="0" collapsed="false">
      <c r="A96" s="22" t="str">
        <f aca="false">IF($I96="","",INDEX(Accounts!$A$12:$A$311,MATCH($I96,Accounts!$T$12:$T$311,0))&amp;"")</f>
        <v/>
      </c>
      <c r="B96" s="30" t="str">
        <f aca="false">IF($I96="","",IF(INDEX(Accounts!$R$12:$R$311,MATCH($I96,Accounts!$T$12:$T$311,0))="Check inputs","—",INDEX(Accounts!$B$12:$B$311,MATCH($I96,Accounts!$T$12:$T$311,0))))</f>
        <v/>
      </c>
      <c r="C96" s="30" t="str">
        <f aca="false">IF($I96="","",IF(INDEX(Accounts!$R$12:$R$311,MATCH($I96,Accounts!$T$12:$T$311,0))="Check inputs","—",INDEX(Accounts!$M$12:$M$311,MATCH($I96,Accounts!$T$12:$T$311,0))))</f>
        <v/>
      </c>
      <c r="D96" s="30" t="str">
        <f aca="false">IF($I96="","",IF(INDEX(Accounts!$R$12:$R$311,MATCH($I96,Accounts!$T$12:$T$311,0))="Check inputs","—",INDEX(Accounts!$N$12:$N$311,MATCH($I96,Accounts!$T$12:$T$311,0))))</f>
        <v/>
      </c>
      <c r="E96" s="31" t="str">
        <f aca="false">IF($I96="","",IF(INDEX(Accounts!$R$12:$R$311,MATCH($I96,Accounts!$T$12:$T$311,0))="Check inputs","—",INDEX(Accounts!$O$12:$O$311,MATCH($I96,Accounts!$T$12:$T$311,0))))</f>
        <v/>
      </c>
      <c r="F96" s="30" t="str">
        <f aca="false">IF($I96="","",IF(INDEX(Accounts!$R$12:$R$311,MATCH($I96,Accounts!$T$12:$T$311,0))="Check inputs","—",INDEX(Accounts!$P$12:$P$311,MATCH($I96,Accounts!$T$12:$T$311,0))))</f>
        <v/>
      </c>
      <c r="G96" s="30" t="str">
        <f aca="false">IF($I96="","",IF(INDEX(Accounts!$R$12:$R$311,MATCH($I96,Accounts!$T$12:$T$311,0))="Check inputs","—",INDEX(Accounts!$Q$12:$Q$311,MATCH($I96,Accounts!$T$12:$T$311,0))))</f>
        <v/>
      </c>
      <c r="H96" s="32" t="str">
        <f aca="false">IF($I96="","",IF(INDEX(Accounts!$R$12:$R$311,MATCH($I96,Accounts!$T$12:$T$311,0))="Check inputs","Check inputs: "&amp;INDEX(Accounts!$S$12:$S$311,MATCH($I96,Accounts!$T$12:$T$311,0)),INDEX(Accounts!$R$12:$R$311,MATCH($I96,Accounts!$T$12:$T$311,0))))</f>
        <v/>
      </c>
      <c r="I96" s="33" t="str">
        <f aca="false">IF(88&gt;COUNT(Accounts!$T$12:$T$311),"",SMALL(Accounts!$T$12:$T$311,88))</f>
        <v/>
      </c>
    </row>
    <row r="97" customFormat="false" ht="15" hidden="false" customHeight="false" outlineLevel="0" collapsed="false">
      <c r="A97" s="22" t="str">
        <f aca="false">IF($I97="","",INDEX(Accounts!$A$12:$A$311,MATCH($I97,Accounts!$T$12:$T$311,0))&amp;"")</f>
        <v/>
      </c>
      <c r="B97" s="30" t="str">
        <f aca="false">IF($I97="","",IF(INDEX(Accounts!$R$12:$R$311,MATCH($I97,Accounts!$T$12:$T$311,0))="Check inputs","—",INDEX(Accounts!$B$12:$B$311,MATCH($I97,Accounts!$T$12:$T$311,0))))</f>
        <v/>
      </c>
      <c r="C97" s="30" t="str">
        <f aca="false">IF($I97="","",IF(INDEX(Accounts!$R$12:$R$311,MATCH($I97,Accounts!$T$12:$T$311,0))="Check inputs","—",INDEX(Accounts!$M$12:$M$311,MATCH($I97,Accounts!$T$12:$T$311,0))))</f>
        <v/>
      </c>
      <c r="D97" s="30" t="str">
        <f aca="false">IF($I97="","",IF(INDEX(Accounts!$R$12:$R$311,MATCH($I97,Accounts!$T$12:$T$311,0))="Check inputs","—",INDEX(Accounts!$N$12:$N$311,MATCH($I97,Accounts!$T$12:$T$311,0))))</f>
        <v/>
      </c>
      <c r="E97" s="31" t="str">
        <f aca="false">IF($I97="","",IF(INDEX(Accounts!$R$12:$R$311,MATCH($I97,Accounts!$T$12:$T$311,0))="Check inputs","—",INDEX(Accounts!$O$12:$O$311,MATCH($I97,Accounts!$T$12:$T$311,0))))</f>
        <v/>
      </c>
      <c r="F97" s="30" t="str">
        <f aca="false">IF($I97="","",IF(INDEX(Accounts!$R$12:$R$311,MATCH($I97,Accounts!$T$12:$T$311,0))="Check inputs","—",INDEX(Accounts!$P$12:$P$311,MATCH($I97,Accounts!$T$12:$T$311,0))))</f>
        <v/>
      </c>
      <c r="G97" s="30" t="str">
        <f aca="false">IF($I97="","",IF(INDEX(Accounts!$R$12:$R$311,MATCH($I97,Accounts!$T$12:$T$311,0))="Check inputs","—",INDEX(Accounts!$Q$12:$Q$311,MATCH($I97,Accounts!$T$12:$T$311,0))))</f>
        <v/>
      </c>
      <c r="H97" s="32" t="str">
        <f aca="false">IF($I97="","",IF(INDEX(Accounts!$R$12:$R$311,MATCH($I97,Accounts!$T$12:$T$311,0))="Check inputs","Check inputs: "&amp;INDEX(Accounts!$S$12:$S$311,MATCH($I97,Accounts!$T$12:$T$311,0)),INDEX(Accounts!$R$12:$R$311,MATCH($I97,Accounts!$T$12:$T$311,0))))</f>
        <v/>
      </c>
      <c r="I97" s="33" t="str">
        <f aca="false">IF(89&gt;COUNT(Accounts!$T$12:$T$311),"",SMALL(Accounts!$T$12:$T$311,89))</f>
        <v/>
      </c>
    </row>
    <row r="98" customFormat="false" ht="15" hidden="false" customHeight="false" outlineLevel="0" collapsed="false">
      <c r="A98" s="22" t="str">
        <f aca="false">IF($I98="","",INDEX(Accounts!$A$12:$A$311,MATCH($I98,Accounts!$T$12:$T$311,0))&amp;"")</f>
        <v/>
      </c>
      <c r="B98" s="30" t="str">
        <f aca="false">IF($I98="","",IF(INDEX(Accounts!$R$12:$R$311,MATCH($I98,Accounts!$T$12:$T$311,0))="Check inputs","—",INDEX(Accounts!$B$12:$B$311,MATCH($I98,Accounts!$T$12:$T$311,0))))</f>
        <v/>
      </c>
      <c r="C98" s="30" t="str">
        <f aca="false">IF($I98="","",IF(INDEX(Accounts!$R$12:$R$311,MATCH($I98,Accounts!$T$12:$T$311,0))="Check inputs","—",INDEX(Accounts!$M$12:$M$311,MATCH($I98,Accounts!$T$12:$T$311,0))))</f>
        <v/>
      </c>
      <c r="D98" s="30" t="str">
        <f aca="false">IF($I98="","",IF(INDEX(Accounts!$R$12:$R$311,MATCH($I98,Accounts!$T$12:$T$311,0))="Check inputs","—",INDEX(Accounts!$N$12:$N$311,MATCH($I98,Accounts!$T$12:$T$311,0))))</f>
        <v/>
      </c>
      <c r="E98" s="31" t="str">
        <f aca="false">IF($I98="","",IF(INDEX(Accounts!$R$12:$R$311,MATCH($I98,Accounts!$T$12:$T$311,0))="Check inputs","—",INDEX(Accounts!$O$12:$O$311,MATCH($I98,Accounts!$T$12:$T$311,0))))</f>
        <v/>
      </c>
      <c r="F98" s="30" t="str">
        <f aca="false">IF($I98="","",IF(INDEX(Accounts!$R$12:$R$311,MATCH($I98,Accounts!$T$12:$T$311,0))="Check inputs","—",INDEX(Accounts!$P$12:$P$311,MATCH($I98,Accounts!$T$12:$T$311,0))))</f>
        <v/>
      </c>
      <c r="G98" s="30" t="str">
        <f aca="false">IF($I98="","",IF(INDEX(Accounts!$R$12:$R$311,MATCH($I98,Accounts!$T$12:$T$311,0))="Check inputs","—",INDEX(Accounts!$Q$12:$Q$311,MATCH($I98,Accounts!$T$12:$T$311,0))))</f>
        <v/>
      </c>
      <c r="H98" s="32" t="str">
        <f aca="false">IF($I98="","",IF(INDEX(Accounts!$R$12:$R$311,MATCH($I98,Accounts!$T$12:$T$311,0))="Check inputs","Check inputs: "&amp;INDEX(Accounts!$S$12:$S$311,MATCH($I98,Accounts!$T$12:$T$311,0)),INDEX(Accounts!$R$12:$R$311,MATCH($I98,Accounts!$T$12:$T$311,0))))</f>
        <v/>
      </c>
      <c r="I98" s="33" t="str">
        <f aca="false">IF(90&gt;COUNT(Accounts!$T$12:$T$311),"",SMALL(Accounts!$T$12:$T$311,90))</f>
        <v/>
      </c>
    </row>
    <row r="99" customFormat="false" ht="15" hidden="false" customHeight="false" outlineLevel="0" collapsed="false">
      <c r="A99" s="22" t="str">
        <f aca="false">IF($I99="","",INDEX(Accounts!$A$12:$A$311,MATCH($I99,Accounts!$T$12:$T$311,0))&amp;"")</f>
        <v/>
      </c>
      <c r="B99" s="30" t="str">
        <f aca="false">IF($I99="","",IF(INDEX(Accounts!$R$12:$R$311,MATCH($I99,Accounts!$T$12:$T$311,0))="Check inputs","—",INDEX(Accounts!$B$12:$B$311,MATCH($I99,Accounts!$T$12:$T$311,0))))</f>
        <v/>
      </c>
      <c r="C99" s="30" t="str">
        <f aca="false">IF($I99="","",IF(INDEX(Accounts!$R$12:$R$311,MATCH($I99,Accounts!$T$12:$T$311,0))="Check inputs","—",INDEX(Accounts!$M$12:$M$311,MATCH($I99,Accounts!$T$12:$T$311,0))))</f>
        <v/>
      </c>
      <c r="D99" s="30" t="str">
        <f aca="false">IF($I99="","",IF(INDEX(Accounts!$R$12:$R$311,MATCH($I99,Accounts!$T$12:$T$311,0))="Check inputs","—",INDEX(Accounts!$N$12:$N$311,MATCH($I99,Accounts!$T$12:$T$311,0))))</f>
        <v/>
      </c>
      <c r="E99" s="31" t="str">
        <f aca="false">IF($I99="","",IF(INDEX(Accounts!$R$12:$R$311,MATCH($I99,Accounts!$T$12:$T$311,0))="Check inputs","—",INDEX(Accounts!$O$12:$O$311,MATCH($I99,Accounts!$T$12:$T$311,0))))</f>
        <v/>
      </c>
      <c r="F99" s="30" t="str">
        <f aca="false">IF($I99="","",IF(INDEX(Accounts!$R$12:$R$311,MATCH($I99,Accounts!$T$12:$T$311,0))="Check inputs","—",INDEX(Accounts!$P$12:$P$311,MATCH($I99,Accounts!$T$12:$T$311,0))))</f>
        <v/>
      </c>
      <c r="G99" s="30" t="str">
        <f aca="false">IF($I99="","",IF(INDEX(Accounts!$R$12:$R$311,MATCH($I99,Accounts!$T$12:$T$311,0))="Check inputs","—",INDEX(Accounts!$Q$12:$Q$311,MATCH($I99,Accounts!$T$12:$T$311,0))))</f>
        <v/>
      </c>
      <c r="H99" s="32" t="str">
        <f aca="false">IF($I99="","",IF(INDEX(Accounts!$R$12:$R$311,MATCH($I99,Accounts!$T$12:$T$311,0))="Check inputs","Check inputs: "&amp;INDEX(Accounts!$S$12:$S$311,MATCH($I99,Accounts!$T$12:$T$311,0)),INDEX(Accounts!$R$12:$R$311,MATCH($I99,Accounts!$T$12:$T$311,0))))</f>
        <v/>
      </c>
      <c r="I99" s="33" t="str">
        <f aca="false">IF(91&gt;COUNT(Accounts!$T$12:$T$311),"",SMALL(Accounts!$T$12:$T$311,91))</f>
        <v/>
      </c>
    </row>
    <row r="100" customFormat="false" ht="15" hidden="false" customHeight="false" outlineLevel="0" collapsed="false">
      <c r="A100" s="22" t="str">
        <f aca="false">IF($I100="","",INDEX(Accounts!$A$12:$A$311,MATCH($I100,Accounts!$T$12:$T$311,0))&amp;"")</f>
        <v/>
      </c>
      <c r="B100" s="30" t="str">
        <f aca="false">IF($I100="","",IF(INDEX(Accounts!$R$12:$R$311,MATCH($I100,Accounts!$T$12:$T$311,0))="Check inputs","—",INDEX(Accounts!$B$12:$B$311,MATCH($I100,Accounts!$T$12:$T$311,0))))</f>
        <v/>
      </c>
      <c r="C100" s="30" t="str">
        <f aca="false">IF($I100="","",IF(INDEX(Accounts!$R$12:$R$311,MATCH($I100,Accounts!$T$12:$T$311,0))="Check inputs","—",INDEX(Accounts!$M$12:$M$311,MATCH($I100,Accounts!$T$12:$T$311,0))))</f>
        <v/>
      </c>
      <c r="D100" s="30" t="str">
        <f aca="false">IF($I100="","",IF(INDEX(Accounts!$R$12:$R$311,MATCH($I100,Accounts!$T$12:$T$311,0))="Check inputs","—",INDEX(Accounts!$N$12:$N$311,MATCH($I100,Accounts!$T$12:$T$311,0))))</f>
        <v/>
      </c>
      <c r="E100" s="31" t="str">
        <f aca="false">IF($I100="","",IF(INDEX(Accounts!$R$12:$R$311,MATCH($I100,Accounts!$T$12:$T$311,0))="Check inputs","—",INDEX(Accounts!$O$12:$O$311,MATCH($I100,Accounts!$T$12:$T$311,0))))</f>
        <v/>
      </c>
      <c r="F100" s="30" t="str">
        <f aca="false">IF($I100="","",IF(INDEX(Accounts!$R$12:$R$311,MATCH($I100,Accounts!$T$12:$T$311,0))="Check inputs","—",INDEX(Accounts!$P$12:$P$311,MATCH($I100,Accounts!$T$12:$T$311,0))))</f>
        <v/>
      </c>
      <c r="G100" s="30" t="str">
        <f aca="false">IF($I100="","",IF(INDEX(Accounts!$R$12:$R$311,MATCH($I100,Accounts!$T$12:$T$311,0))="Check inputs","—",INDEX(Accounts!$Q$12:$Q$311,MATCH($I100,Accounts!$T$12:$T$311,0))))</f>
        <v/>
      </c>
      <c r="H100" s="32" t="str">
        <f aca="false">IF($I100="","",IF(INDEX(Accounts!$R$12:$R$311,MATCH($I100,Accounts!$T$12:$T$311,0))="Check inputs","Check inputs: "&amp;INDEX(Accounts!$S$12:$S$311,MATCH($I100,Accounts!$T$12:$T$311,0)),INDEX(Accounts!$R$12:$R$311,MATCH($I100,Accounts!$T$12:$T$311,0))))</f>
        <v/>
      </c>
      <c r="I100" s="33" t="str">
        <f aca="false">IF(92&gt;COUNT(Accounts!$T$12:$T$311),"",SMALL(Accounts!$T$12:$T$311,92))</f>
        <v/>
      </c>
    </row>
    <row r="101" customFormat="false" ht="15" hidden="false" customHeight="false" outlineLevel="0" collapsed="false">
      <c r="A101" s="22" t="str">
        <f aca="false">IF($I101="","",INDEX(Accounts!$A$12:$A$311,MATCH($I101,Accounts!$T$12:$T$311,0))&amp;"")</f>
        <v/>
      </c>
      <c r="B101" s="30" t="str">
        <f aca="false">IF($I101="","",IF(INDEX(Accounts!$R$12:$R$311,MATCH($I101,Accounts!$T$12:$T$311,0))="Check inputs","—",INDEX(Accounts!$B$12:$B$311,MATCH($I101,Accounts!$T$12:$T$311,0))))</f>
        <v/>
      </c>
      <c r="C101" s="30" t="str">
        <f aca="false">IF($I101="","",IF(INDEX(Accounts!$R$12:$R$311,MATCH($I101,Accounts!$T$12:$T$311,0))="Check inputs","—",INDEX(Accounts!$M$12:$M$311,MATCH($I101,Accounts!$T$12:$T$311,0))))</f>
        <v/>
      </c>
      <c r="D101" s="30" t="str">
        <f aca="false">IF($I101="","",IF(INDEX(Accounts!$R$12:$R$311,MATCH($I101,Accounts!$T$12:$T$311,0))="Check inputs","—",INDEX(Accounts!$N$12:$N$311,MATCH($I101,Accounts!$T$12:$T$311,0))))</f>
        <v/>
      </c>
      <c r="E101" s="31" t="str">
        <f aca="false">IF($I101="","",IF(INDEX(Accounts!$R$12:$R$311,MATCH($I101,Accounts!$T$12:$T$311,0))="Check inputs","—",INDEX(Accounts!$O$12:$O$311,MATCH($I101,Accounts!$T$12:$T$311,0))))</f>
        <v/>
      </c>
      <c r="F101" s="30" t="str">
        <f aca="false">IF($I101="","",IF(INDEX(Accounts!$R$12:$R$311,MATCH($I101,Accounts!$T$12:$T$311,0))="Check inputs","—",INDEX(Accounts!$P$12:$P$311,MATCH($I101,Accounts!$T$12:$T$311,0))))</f>
        <v/>
      </c>
      <c r="G101" s="30" t="str">
        <f aca="false">IF($I101="","",IF(INDEX(Accounts!$R$12:$R$311,MATCH($I101,Accounts!$T$12:$T$311,0))="Check inputs","—",INDEX(Accounts!$Q$12:$Q$311,MATCH($I101,Accounts!$T$12:$T$311,0))))</f>
        <v/>
      </c>
      <c r="H101" s="32" t="str">
        <f aca="false">IF($I101="","",IF(INDEX(Accounts!$R$12:$R$311,MATCH($I101,Accounts!$T$12:$T$311,0))="Check inputs","Check inputs: "&amp;INDEX(Accounts!$S$12:$S$311,MATCH($I101,Accounts!$T$12:$T$311,0)),INDEX(Accounts!$R$12:$R$311,MATCH($I101,Accounts!$T$12:$T$311,0))))</f>
        <v/>
      </c>
      <c r="I101" s="33" t="str">
        <f aca="false">IF(93&gt;COUNT(Accounts!$T$12:$T$311),"",SMALL(Accounts!$T$12:$T$311,93))</f>
        <v/>
      </c>
    </row>
    <row r="102" customFormat="false" ht="15" hidden="false" customHeight="false" outlineLevel="0" collapsed="false">
      <c r="A102" s="22" t="str">
        <f aca="false">IF($I102="","",INDEX(Accounts!$A$12:$A$311,MATCH($I102,Accounts!$T$12:$T$311,0))&amp;"")</f>
        <v/>
      </c>
      <c r="B102" s="30" t="str">
        <f aca="false">IF($I102="","",IF(INDEX(Accounts!$R$12:$R$311,MATCH($I102,Accounts!$T$12:$T$311,0))="Check inputs","—",INDEX(Accounts!$B$12:$B$311,MATCH($I102,Accounts!$T$12:$T$311,0))))</f>
        <v/>
      </c>
      <c r="C102" s="30" t="str">
        <f aca="false">IF($I102="","",IF(INDEX(Accounts!$R$12:$R$311,MATCH($I102,Accounts!$T$12:$T$311,0))="Check inputs","—",INDEX(Accounts!$M$12:$M$311,MATCH($I102,Accounts!$T$12:$T$311,0))))</f>
        <v/>
      </c>
      <c r="D102" s="30" t="str">
        <f aca="false">IF($I102="","",IF(INDEX(Accounts!$R$12:$R$311,MATCH($I102,Accounts!$T$12:$T$311,0))="Check inputs","—",INDEX(Accounts!$N$12:$N$311,MATCH($I102,Accounts!$T$12:$T$311,0))))</f>
        <v/>
      </c>
      <c r="E102" s="31" t="str">
        <f aca="false">IF($I102="","",IF(INDEX(Accounts!$R$12:$R$311,MATCH($I102,Accounts!$T$12:$T$311,0))="Check inputs","—",INDEX(Accounts!$O$12:$O$311,MATCH($I102,Accounts!$T$12:$T$311,0))))</f>
        <v/>
      </c>
      <c r="F102" s="30" t="str">
        <f aca="false">IF($I102="","",IF(INDEX(Accounts!$R$12:$R$311,MATCH($I102,Accounts!$T$12:$T$311,0))="Check inputs","—",INDEX(Accounts!$P$12:$P$311,MATCH($I102,Accounts!$T$12:$T$311,0))))</f>
        <v/>
      </c>
      <c r="G102" s="30" t="str">
        <f aca="false">IF($I102="","",IF(INDEX(Accounts!$R$12:$R$311,MATCH($I102,Accounts!$T$12:$T$311,0))="Check inputs","—",INDEX(Accounts!$Q$12:$Q$311,MATCH($I102,Accounts!$T$12:$T$311,0))))</f>
        <v/>
      </c>
      <c r="H102" s="32" t="str">
        <f aca="false">IF($I102="","",IF(INDEX(Accounts!$R$12:$R$311,MATCH($I102,Accounts!$T$12:$T$311,0))="Check inputs","Check inputs: "&amp;INDEX(Accounts!$S$12:$S$311,MATCH($I102,Accounts!$T$12:$T$311,0)),INDEX(Accounts!$R$12:$R$311,MATCH($I102,Accounts!$T$12:$T$311,0))))</f>
        <v/>
      </c>
      <c r="I102" s="33" t="str">
        <f aca="false">IF(94&gt;COUNT(Accounts!$T$12:$T$311),"",SMALL(Accounts!$T$12:$T$311,94))</f>
        <v/>
      </c>
    </row>
    <row r="103" customFormat="false" ht="15" hidden="false" customHeight="false" outlineLevel="0" collapsed="false">
      <c r="A103" s="22" t="str">
        <f aca="false">IF($I103="","",INDEX(Accounts!$A$12:$A$311,MATCH($I103,Accounts!$T$12:$T$311,0))&amp;"")</f>
        <v/>
      </c>
      <c r="B103" s="30" t="str">
        <f aca="false">IF($I103="","",IF(INDEX(Accounts!$R$12:$R$311,MATCH($I103,Accounts!$T$12:$T$311,0))="Check inputs","—",INDEX(Accounts!$B$12:$B$311,MATCH($I103,Accounts!$T$12:$T$311,0))))</f>
        <v/>
      </c>
      <c r="C103" s="30" t="str">
        <f aca="false">IF($I103="","",IF(INDEX(Accounts!$R$12:$R$311,MATCH($I103,Accounts!$T$12:$T$311,0))="Check inputs","—",INDEX(Accounts!$M$12:$M$311,MATCH($I103,Accounts!$T$12:$T$311,0))))</f>
        <v/>
      </c>
      <c r="D103" s="30" t="str">
        <f aca="false">IF($I103="","",IF(INDEX(Accounts!$R$12:$R$311,MATCH($I103,Accounts!$T$12:$T$311,0))="Check inputs","—",INDEX(Accounts!$N$12:$N$311,MATCH($I103,Accounts!$T$12:$T$311,0))))</f>
        <v/>
      </c>
      <c r="E103" s="31" t="str">
        <f aca="false">IF($I103="","",IF(INDEX(Accounts!$R$12:$R$311,MATCH($I103,Accounts!$T$12:$T$311,0))="Check inputs","—",INDEX(Accounts!$O$12:$O$311,MATCH($I103,Accounts!$T$12:$T$311,0))))</f>
        <v/>
      </c>
      <c r="F103" s="30" t="str">
        <f aca="false">IF($I103="","",IF(INDEX(Accounts!$R$12:$R$311,MATCH($I103,Accounts!$T$12:$T$311,0))="Check inputs","—",INDEX(Accounts!$P$12:$P$311,MATCH($I103,Accounts!$T$12:$T$311,0))))</f>
        <v/>
      </c>
      <c r="G103" s="30" t="str">
        <f aca="false">IF($I103="","",IF(INDEX(Accounts!$R$12:$R$311,MATCH($I103,Accounts!$T$12:$T$311,0))="Check inputs","—",INDEX(Accounts!$Q$12:$Q$311,MATCH($I103,Accounts!$T$12:$T$311,0))))</f>
        <v/>
      </c>
      <c r="H103" s="32" t="str">
        <f aca="false">IF($I103="","",IF(INDEX(Accounts!$R$12:$R$311,MATCH($I103,Accounts!$T$12:$T$311,0))="Check inputs","Check inputs: "&amp;INDEX(Accounts!$S$12:$S$311,MATCH($I103,Accounts!$T$12:$T$311,0)),INDEX(Accounts!$R$12:$R$311,MATCH($I103,Accounts!$T$12:$T$311,0))))</f>
        <v/>
      </c>
      <c r="I103" s="33" t="str">
        <f aca="false">IF(95&gt;COUNT(Accounts!$T$12:$T$311),"",SMALL(Accounts!$T$12:$T$311,95))</f>
        <v/>
      </c>
    </row>
    <row r="104" customFormat="false" ht="15" hidden="false" customHeight="false" outlineLevel="0" collapsed="false">
      <c r="A104" s="22" t="str">
        <f aca="false">IF($I104="","",INDEX(Accounts!$A$12:$A$311,MATCH($I104,Accounts!$T$12:$T$311,0))&amp;"")</f>
        <v/>
      </c>
      <c r="B104" s="30" t="str">
        <f aca="false">IF($I104="","",IF(INDEX(Accounts!$R$12:$R$311,MATCH($I104,Accounts!$T$12:$T$311,0))="Check inputs","—",INDEX(Accounts!$B$12:$B$311,MATCH($I104,Accounts!$T$12:$T$311,0))))</f>
        <v/>
      </c>
      <c r="C104" s="30" t="str">
        <f aca="false">IF($I104="","",IF(INDEX(Accounts!$R$12:$R$311,MATCH($I104,Accounts!$T$12:$T$311,0))="Check inputs","—",INDEX(Accounts!$M$12:$M$311,MATCH($I104,Accounts!$T$12:$T$311,0))))</f>
        <v/>
      </c>
      <c r="D104" s="30" t="str">
        <f aca="false">IF($I104="","",IF(INDEX(Accounts!$R$12:$R$311,MATCH($I104,Accounts!$T$12:$T$311,0))="Check inputs","—",INDEX(Accounts!$N$12:$N$311,MATCH($I104,Accounts!$T$12:$T$311,0))))</f>
        <v/>
      </c>
      <c r="E104" s="31" t="str">
        <f aca="false">IF($I104="","",IF(INDEX(Accounts!$R$12:$R$311,MATCH($I104,Accounts!$T$12:$T$311,0))="Check inputs","—",INDEX(Accounts!$O$12:$O$311,MATCH($I104,Accounts!$T$12:$T$311,0))))</f>
        <v/>
      </c>
      <c r="F104" s="30" t="str">
        <f aca="false">IF($I104="","",IF(INDEX(Accounts!$R$12:$R$311,MATCH($I104,Accounts!$T$12:$T$311,0))="Check inputs","—",INDEX(Accounts!$P$12:$P$311,MATCH($I104,Accounts!$T$12:$T$311,0))))</f>
        <v/>
      </c>
      <c r="G104" s="30" t="str">
        <f aca="false">IF($I104="","",IF(INDEX(Accounts!$R$12:$R$311,MATCH($I104,Accounts!$T$12:$T$311,0))="Check inputs","—",INDEX(Accounts!$Q$12:$Q$311,MATCH($I104,Accounts!$T$12:$T$311,0))))</f>
        <v/>
      </c>
      <c r="H104" s="32" t="str">
        <f aca="false">IF($I104="","",IF(INDEX(Accounts!$R$12:$R$311,MATCH($I104,Accounts!$T$12:$T$311,0))="Check inputs","Check inputs: "&amp;INDEX(Accounts!$S$12:$S$311,MATCH($I104,Accounts!$T$12:$T$311,0)),INDEX(Accounts!$R$12:$R$311,MATCH($I104,Accounts!$T$12:$T$311,0))))</f>
        <v/>
      </c>
      <c r="I104" s="33" t="str">
        <f aca="false">IF(96&gt;COUNT(Accounts!$T$12:$T$311),"",SMALL(Accounts!$T$12:$T$311,96))</f>
        <v/>
      </c>
    </row>
    <row r="105" customFormat="false" ht="15" hidden="false" customHeight="false" outlineLevel="0" collapsed="false">
      <c r="A105" s="22" t="str">
        <f aca="false">IF($I105="","",INDEX(Accounts!$A$12:$A$311,MATCH($I105,Accounts!$T$12:$T$311,0))&amp;"")</f>
        <v/>
      </c>
      <c r="B105" s="30" t="str">
        <f aca="false">IF($I105="","",IF(INDEX(Accounts!$R$12:$R$311,MATCH($I105,Accounts!$T$12:$T$311,0))="Check inputs","—",INDEX(Accounts!$B$12:$B$311,MATCH($I105,Accounts!$T$12:$T$311,0))))</f>
        <v/>
      </c>
      <c r="C105" s="30" t="str">
        <f aca="false">IF($I105="","",IF(INDEX(Accounts!$R$12:$R$311,MATCH($I105,Accounts!$T$12:$T$311,0))="Check inputs","—",INDEX(Accounts!$M$12:$M$311,MATCH($I105,Accounts!$T$12:$T$311,0))))</f>
        <v/>
      </c>
      <c r="D105" s="30" t="str">
        <f aca="false">IF($I105="","",IF(INDEX(Accounts!$R$12:$R$311,MATCH($I105,Accounts!$T$12:$T$311,0))="Check inputs","—",INDEX(Accounts!$N$12:$N$311,MATCH($I105,Accounts!$T$12:$T$311,0))))</f>
        <v/>
      </c>
      <c r="E105" s="31" t="str">
        <f aca="false">IF($I105="","",IF(INDEX(Accounts!$R$12:$R$311,MATCH($I105,Accounts!$T$12:$T$311,0))="Check inputs","—",INDEX(Accounts!$O$12:$O$311,MATCH($I105,Accounts!$T$12:$T$311,0))))</f>
        <v/>
      </c>
      <c r="F105" s="30" t="str">
        <f aca="false">IF($I105="","",IF(INDEX(Accounts!$R$12:$R$311,MATCH($I105,Accounts!$T$12:$T$311,0))="Check inputs","—",INDEX(Accounts!$P$12:$P$311,MATCH($I105,Accounts!$T$12:$T$311,0))))</f>
        <v/>
      </c>
      <c r="G105" s="30" t="str">
        <f aca="false">IF($I105="","",IF(INDEX(Accounts!$R$12:$R$311,MATCH($I105,Accounts!$T$12:$T$311,0))="Check inputs","—",INDEX(Accounts!$Q$12:$Q$311,MATCH($I105,Accounts!$T$12:$T$311,0))))</f>
        <v/>
      </c>
      <c r="H105" s="32" t="str">
        <f aca="false">IF($I105="","",IF(INDEX(Accounts!$R$12:$R$311,MATCH($I105,Accounts!$T$12:$T$311,0))="Check inputs","Check inputs: "&amp;INDEX(Accounts!$S$12:$S$311,MATCH($I105,Accounts!$T$12:$T$311,0)),INDEX(Accounts!$R$12:$R$311,MATCH($I105,Accounts!$T$12:$T$311,0))))</f>
        <v/>
      </c>
      <c r="I105" s="33" t="str">
        <f aca="false">IF(97&gt;COUNT(Accounts!$T$12:$T$311),"",SMALL(Accounts!$T$12:$T$311,97))</f>
        <v/>
      </c>
    </row>
    <row r="106" customFormat="false" ht="15" hidden="false" customHeight="false" outlineLevel="0" collapsed="false">
      <c r="A106" s="22" t="str">
        <f aca="false">IF($I106="","",INDEX(Accounts!$A$12:$A$311,MATCH($I106,Accounts!$T$12:$T$311,0))&amp;"")</f>
        <v/>
      </c>
      <c r="B106" s="30" t="str">
        <f aca="false">IF($I106="","",IF(INDEX(Accounts!$R$12:$R$311,MATCH($I106,Accounts!$T$12:$T$311,0))="Check inputs","—",INDEX(Accounts!$B$12:$B$311,MATCH($I106,Accounts!$T$12:$T$311,0))))</f>
        <v/>
      </c>
      <c r="C106" s="30" t="str">
        <f aca="false">IF($I106="","",IF(INDEX(Accounts!$R$12:$R$311,MATCH($I106,Accounts!$T$12:$T$311,0))="Check inputs","—",INDEX(Accounts!$M$12:$M$311,MATCH($I106,Accounts!$T$12:$T$311,0))))</f>
        <v/>
      </c>
      <c r="D106" s="30" t="str">
        <f aca="false">IF($I106="","",IF(INDEX(Accounts!$R$12:$R$311,MATCH($I106,Accounts!$T$12:$T$311,0))="Check inputs","—",INDEX(Accounts!$N$12:$N$311,MATCH($I106,Accounts!$T$12:$T$311,0))))</f>
        <v/>
      </c>
      <c r="E106" s="31" t="str">
        <f aca="false">IF($I106="","",IF(INDEX(Accounts!$R$12:$R$311,MATCH($I106,Accounts!$T$12:$T$311,0))="Check inputs","—",INDEX(Accounts!$O$12:$O$311,MATCH($I106,Accounts!$T$12:$T$311,0))))</f>
        <v/>
      </c>
      <c r="F106" s="30" t="str">
        <f aca="false">IF($I106="","",IF(INDEX(Accounts!$R$12:$R$311,MATCH($I106,Accounts!$T$12:$T$311,0))="Check inputs","—",INDEX(Accounts!$P$12:$P$311,MATCH($I106,Accounts!$T$12:$T$311,0))))</f>
        <v/>
      </c>
      <c r="G106" s="30" t="str">
        <f aca="false">IF($I106="","",IF(INDEX(Accounts!$R$12:$R$311,MATCH($I106,Accounts!$T$12:$T$311,0))="Check inputs","—",INDEX(Accounts!$Q$12:$Q$311,MATCH($I106,Accounts!$T$12:$T$311,0))))</f>
        <v/>
      </c>
      <c r="H106" s="32" t="str">
        <f aca="false">IF($I106="","",IF(INDEX(Accounts!$R$12:$R$311,MATCH($I106,Accounts!$T$12:$T$311,0))="Check inputs","Check inputs: "&amp;INDEX(Accounts!$S$12:$S$311,MATCH($I106,Accounts!$T$12:$T$311,0)),INDEX(Accounts!$R$12:$R$311,MATCH($I106,Accounts!$T$12:$T$311,0))))</f>
        <v/>
      </c>
      <c r="I106" s="33" t="str">
        <f aca="false">IF(98&gt;COUNT(Accounts!$T$12:$T$311),"",SMALL(Accounts!$T$12:$T$311,98))</f>
        <v/>
      </c>
    </row>
    <row r="107" customFormat="false" ht="15" hidden="false" customHeight="false" outlineLevel="0" collapsed="false">
      <c r="A107" s="22" t="str">
        <f aca="false">IF($I107="","",INDEX(Accounts!$A$12:$A$311,MATCH($I107,Accounts!$T$12:$T$311,0))&amp;"")</f>
        <v/>
      </c>
      <c r="B107" s="30" t="str">
        <f aca="false">IF($I107="","",IF(INDEX(Accounts!$R$12:$R$311,MATCH($I107,Accounts!$T$12:$T$311,0))="Check inputs","—",INDEX(Accounts!$B$12:$B$311,MATCH($I107,Accounts!$T$12:$T$311,0))))</f>
        <v/>
      </c>
      <c r="C107" s="30" t="str">
        <f aca="false">IF($I107="","",IF(INDEX(Accounts!$R$12:$R$311,MATCH($I107,Accounts!$T$12:$T$311,0))="Check inputs","—",INDEX(Accounts!$M$12:$M$311,MATCH($I107,Accounts!$T$12:$T$311,0))))</f>
        <v/>
      </c>
      <c r="D107" s="30" t="str">
        <f aca="false">IF($I107="","",IF(INDEX(Accounts!$R$12:$R$311,MATCH($I107,Accounts!$T$12:$T$311,0))="Check inputs","—",INDEX(Accounts!$N$12:$N$311,MATCH($I107,Accounts!$T$12:$T$311,0))))</f>
        <v/>
      </c>
      <c r="E107" s="31" t="str">
        <f aca="false">IF($I107="","",IF(INDEX(Accounts!$R$12:$R$311,MATCH($I107,Accounts!$T$12:$T$311,0))="Check inputs","—",INDEX(Accounts!$O$12:$O$311,MATCH($I107,Accounts!$T$12:$T$311,0))))</f>
        <v/>
      </c>
      <c r="F107" s="30" t="str">
        <f aca="false">IF($I107="","",IF(INDEX(Accounts!$R$12:$R$311,MATCH($I107,Accounts!$T$12:$T$311,0))="Check inputs","—",INDEX(Accounts!$P$12:$P$311,MATCH($I107,Accounts!$T$12:$T$311,0))))</f>
        <v/>
      </c>
      <c r="G107" s="30" t="str">
        <f aca="false">IF($I107="","",IF(INDEX(Accounts!$R$12:$R$311,MATCH($I107,Accounts!$T$12:$T$311,0))="Check inputs","—",INDEX(Accounts!$Q$12:$Q$311,MATCH($I107,Accounts!$T$12:$T$311,0))))</f>
        <v/>
      </c>
      <c r="H107" s="32" t="str">
        <f aca="false">IF($I107="","",IF(INDEX(Accounts!$R$12:$R$311,MATCH($I107,Accounts!$T$12:$T$311,0))="Check inputs","Check inputs: "&amp;INDEX(Accounts!$S$12:$S$311,MATCH($I107,Accounts!$T$12:$T$311,0)),INDEX(Accounts!$R$12:$R$311,MATCH($I107,Accounts!$T$12:$T$311,0))))</f>
        <v/>
      </c>
      <c r="I107" s="33" t="str">
        <f aca="false">IF(99&gt;COUNT(Accounts!$T$12:$T$311),"",SMALL(Accounts!$T$12:$T$311,99))</f>
        <v/>
      </c>
    </row>
    <row r="108" customFormat="false" ht="15" hidden="false" customHeight="false" outlineLevel="0" collapsed="false">
      <c r="A108" s="22" t="str">
        <f aca="false">IF($I108="","",INDEX(Accounts!$A$12:$A$311,MATCH($I108,Accounts!$T$12:$T$311,0))&amp;"")</f>
        <v/>
      </c>
      <c r="B108" s="30" t="str">
        <f aca="false">IF($I108="","",IF(INDEX(Accounts!$R$12:$R$311,MATCH($I108,Accounts!$T$12:$T$311,0))="Check inputs","—",INDEX(Accounts!$B$12:$B$311,MATCH($I108,Accounts!$T$12:$T$311,0))))</f>
        <v/>
      </c>
      <c r="C108" s="30" t="str">
        <f aca="false">IF($I108="","",IF(INDEX(Accounts!$R$12:$R$311,MATCH($I108,Accounts!$T$12:$T$311,0))="Check inputs","—",INDEX(Accounts!$M$12:$M$311,MATCH($I108,Accounts!$T$12:$T$311,0))))</f>
        <v/>
      </c>
      <c r="D108" s="30" t="str">
        <f aca="false">IF($I108="","",IF(INDEX(Accounts!$R$12:$R$311,MATCH($I108,Accounts!$T$12:$T$311,0))="Check inputs","—",INDEX(Accounts!$N$12:$N$311,MATCH($I108,Accounts!$T$12:$T$311,0))))</f>
        <v/>
      </c>
      <c r="E108" s="31" t="str">
        <f aca="false">IF($I108="","",IF(INDEX(Accounts!$R$12:$R$311,MATCH($I108,Accounts!$T$12:$T$311,0))="Check inputs","—",INDEX(Accounts!$O$12:$O$311,MATCH($I108,Accounts!$T$12:$T$311,0))))</f>
        <v/>
      </c>
      <c r="F108" s="30" t="str">
        <f aca="false">IF($I108="","",IF(INDEX(Accounts!$R$12:$R$311,MATCH($I108,Accounts!$T$12:$T$311,0))="Check inputs","—",INDEX(Accounts!$P$12:$P$311,MATCH($I108,Accounts!$T$12:$T$311,0))))</f>
        <v/>
      </c>
      <c r="G108" s="30" t="str">
        <f aca="false">IF($I108="","",IF(INDEX(Accounts!$R$12:$R$311,MATCH($I108,Accounts!$T$12:$T$311,0))="Check inputs","—",INDEX(Accounts!$Q$12:$Q$311,MATCH($I108,Accounts!$T$12:$T$311,0))))</f>
        <v/>
      </c>
      <c r="H108" s="32" t="str">
        <f aca="false">IF($I108="","",IF(INDEX(Accounts!$R$12:$R$311,MATCH($I108,Accounts!$T$12:$T$311,0))="Check inputs","Check inputs: "&amp;INDEX(Accounts!$S$12:$S$311,MATCH($I108,Accounts!$T$12:$T$311,0)),INDEX(Accounts!$R$12:$R$311,MATCH($I108,Accounts!$T$12:$T$311,0))))</f>
        <v/>
      </c>
      <c r="I108" s="33" t="str">
        <f aca="false">IF(100&gt;COUNT(Accounts!$T$12:$T$311),"",SMALL(Accounts!$T$12:$T$311,100))</f>
        <v/>
      </c>
    </row>
    <row r="109" customFormat="false" ht="15" hidden="false" customHeight="false" outlineLevel="0" collapsed="false">
      <c r="A109" s="22" t="str">
        <f aca="false">IF($I109="","",INDEX(Accounts!$A$12:$A$311,MATCH($I109,Accounts!$T$12:$T$311,0))&amp;"")</f>
        <v/>
      </c>
      <c r="B109" s="30" t="str">
        <f aca="false">IF($I109="","",IF(INDEX(Accounts!$R$12:$R$311,MATCH($I109,Accounts!$T$12:$T$311,0))="Check inputs","—",INDEX(Accounts!$B$12:$B$311,MATCH($I109,Accounts!$T$12:$T$311,0))))</f>
        <v/>
      </c>
      <c r="C109" s="30" t="str">
        <f aca="false">IF($I109="","",IF(INDEX(Accounts!$R$12:$R$311,MATCH($I109,Accounts!$T$12:$T$311,0))="Check inputs","—",INDEX(Accounts!$M$12:$M$311,MATCH($I109,Accounts!$T$12:$T$311,0))))</f>
        <v/>
      </c>
      <c r="D109" s="30" t="str">
        <f aca="false">IF($I109="","",IF(INDEX(Accounts!$R$12:$R$311,MATCH($I109,Accounts!$T$12:$T$311,0))="Check inputs","—",INDEX(Accounts!$N$12:$N$311,MATCH($I109,Accounts!$T$12:$T$311,0))))</f>
        <v/>
      </c>
      <c r="E109" s="31" t="str">
        <f aca="false">IF($I109="","",IF(INDEX(Accounts!$R$12:$R$311,MATCH($I109,Accounts!$T$12:$T$311,0))="Check inputs","—",INDEX(Accounts!$O$12:$O$311,MATCH($I109,Accounts!$T$12:$T$311,0))))</f>
        <v/>
      </c>
      <c r="F109" s="30" t="str">
        <f aca="false">IF($I109="","",IF(INDEX(Accounts!$R$12:$R$311,MATCH($I109,Accounts!$T$12:$T$311,0))="Check inputs","—",INDEX(Accounts!$P$12:$P$311,MATCH($I109,Accounts!$T$12:$T$311,0))))</f>
        <v/>
      </c>
      <c r="G109" s="30" t="str">
        <f aca="false">IF($I109="","",IF(INDEX(Accounts!$R$12:$R$311,MATCH($I109,Accounts!$T$12:$T$311,0))="Check inputs","—",INDEX(Accounts!$Q$12:$Q$311,MATCH($I109,Accounts!$T$12:$T$311,0))))</f>
        <v/>
      </c>
      <c r="H109" s="32" t="str">
        <f aca="false">IF($I109="","",IF(INDEX(Accounts!$R$12:$R$311,MATCH($I109,Accounts!$T$12:$T$311,0))="Check inputs","Check inputs: "&amp;INDEX(Accounts!$S$12:$S$311,MATCH($I109,Accounts!$T$12:$T$311,0)),INDEX(Accounts!$R$12:$R$311,MATCH($I109,Accounts!$T$12:$T$311,0))))</f>
        <v/>
      </c>
      <c r="I109" s="33" t="str">
        <f aca="false">IF(101&gt;COUNT(Accounts!$T$12:$T$311),"",SMALL(Accounts!$T$12:$T$311,101))</f>
        <v/>
      </c>
    </row>
    <row r="110" customFormat="false" ht="15" hidden="false" customHeight="false" outlineLevel="0" collapsed="false">
      <c r="A110" s="22" t="str">
        <f aca="false">IF($I110="","",INDEX(Accounts!$A$12:$A$311,MATCH($I110,Accounts!$T$12:$T$311,0))&amp;"")</f>
        <v/>
      </c>
      <c r="B110" s="30" t="str">
        <f aca="false">IF($I110="","",IF(INDEX(Accounts!$R$12:$R$311,MATCH($I110,Accounts!$T$12:$T$311,0))="Check inputs","—",INDEX(Accounts!$B$12:$B$311,MATCH($I110,Accounts!$T$12:$T$311,0))))</f>
        <v/>
      </c>
      <c r="C110" s="30" t="str">
        <f aca="false">IF($I110="","",IF(INDEX(Accounts!$R$12:$R$311,MATCH($I110,Accounts!$T$12:$T$311,0))="Check inputs","—",INDEX(Accounts!$M$12:$M$311,MATCH($I110,Accounts!$T$12:$T$311,0))))</f>
        <v/>
      </c>
      <c r="D110" s="30" t="str">
        <f aca="false">IF($I110="","",IF(INDEX(Accounts!$R$12:$R$311,MATCH($I110,Accounts!$T$12:$T$311,0))="Check inputs","—",INDEX(Accounts!$N$12:$N$311,MATCH($I110,Accounts!$T$12:$T$311,0))))</f>
        <v/>
      </c>
      <c r="E110" s="31" t="str">
        <f aca="false">IF($I110="","",IF(INDEX(Accounts!$R$12:$R$311,MATCH($I110,Accounts!$T$12:$T$311,0))="Check inputs","—",INDEX(Accounts!$O$12:$O$311,MATCH($I110,Accounts!$T$12:$T$311,0))))</f>
        <v/>
      </c>
      <c r="F110" s="30" t="str">
        <f aca="false">IF($I110="","",IF(INDEX(Accounts!$R$12:$R$311,MATCH($I110,Accounts!$T$12:$T$311,0))="Check inputs","—",INDEX(Accounts!$P$12:$P$311,MATCH($I110,Accounts!$T$12:$T$311,0))))</f>
        <v/>
      </c>
      <c r="G110" s="30" t="str">
        <f aca="false">IF($I110="","",IF(INDEX(Accounts!$R$12:$R$311,MATCH($I110,Accounts!$T$12:$T$311,0))="Check inputs","—",INDEX(Accounts!$Q$12:$Q$311,MATCH($I110,Accounts!$T$12:$T$311,0))))</f>
        <v/>
      </c>
      <c r="H110" s="32" t="str">
        <f aca="false">IF($I110="","",IF(INDEX(Accounts!$R$12:$R$311,MATCH($I110,Accounts!$T$12:$T$311,0))="Check inputs","Check inputs: "&amp;INDEX(Accounts!$S$12:$S$311,MATCH($I110,Accounts!$T$12:$T$311,0)),INDEX(Accounts!$R$12:$R$311,MATCH($I110,Accounts!$T$12:$T$311,0))))</f>
        <v/>
      </c>
      <c r="I110" s="33" t="str">
        <f aca="false">IF(102&gt;COUNT(Accounts!$T$12:$T$311),"",SMALL(Accounts!$T$12:$T$311,102))</f>
        <v/>
      </c>
    </row>
    <row r="111" customFormat="false" ht="15" hidden="false" customHeight="false" outlineLevel="0" collapsed="false">
      <c r="A111" s="22" t="str">
        <f aca="false">IF($I111="","",INDEX(Accounts!$A$12:$A$311,MATCH($I111,Accounts!$T$12:$T$311,0))&amp;"")</f>
        <v/>
      </c>
      <c r="B111" s="30" t="str">
        <f aca="false">IF($I111="","",IF(INDEX(Accounts!$R$12:$R$311,MATCH($I111,Accounts!$T$12:$T$311,0))="Check inputs","—",INDEX(Accounts!$B$12:$B$311,MATCH($I111,Accounts!$T$12:$T$311,0))))</f>
        <v/>
      </c>
      <c r="C111" s="30" t="str">
        <f aca="false">IF($I111="","",IF(INDEX(Accounts!$R$12:$R$311,MATCH($I111,Accounts!$T$12:$T$311,0))="Check inputs","—",INDEX(Accounts!$M$12:$M$311,MATCH($I111,Accounts!$T$12:$T$311,0))))</f>
        <v/>
      </c>
      <c r="D111" s="30" t="str">
        <f aca="false">IF($I111="","",IF(INDEX(Accounts!$R$12:$R$311,MATCH($I111,Accounts!$T$12:$T$311,0))="Check inputs","—",INDEX(Accounts!$N$12:$N$311,MATCH($I111,Accounts!$T$12:$T$311,0))))</f>
        <v/>
      </c>
      <c r="E111" s="31" t="str">
        <f aca="false">IF($I111="","",IF(INDEX(Accounts!$R$12:$R$311,MATCH($I111,Accounts!$T$12:$T$311,0))="Check inputs","—",INDEX(Accounts!$O$12:$O$311,MATCH($I111,Accounts!$T$12:$T$311,0))))</f>
        <v/>
      </c>
      <c r="F111" s="30" t="str">
        <f aca="false">IF($I111="","",IF(INDEX(Accounts!$R$12:$R$311,MATCH($I111,Accounts!$T$12:$T$311,0))="Check inputs","—",INDEX(Accounts!$P$12:$P$311,MATCH($I111,Accounts!$T$12:$T$311,0))))</f>
        <v/>
      </c>
      <c r="G111" s="30" t="str">
        <f aca="false">IF($I111="","",IF(INDEX(Accounts!$R$12:$R$311,MATCH($I111,Accounts!$T$12:$T$311,0))="Check inputs","—",INDEX(Accounts!$Q$12:$Q$311,MATCH($I111,Accounts!$T$12:$T$311,0))))</f>
        <v/>
      </c>
      <c r="H111" s="32" t="str">
        <f aca="false">IF($I111="","",IF(INDEX(Accounts!$R$12:$R$311,MATCH($I111,Accounts!$T$12:$T$311,0))="Check inputs","Check inputs: "&amp;INDEX(Accounts!$S$12:$S$311,MATCH($I111,Accounts!$T$12:$T$311,0)),INDEX(Accounts!$R$12:$R$311,MATCH($I111,Accounts!$T$12:$T$311,0))))</f>
        <v/>
      </c>
      <c r="I111" s="33" t="str">
        <f aca="false">IF(103&gt;COUNT(Accounts!$T$12:$T$311),"",SMALL(Accounts!$T$12:$T$311,103))</f>
        <v/>
      </c>
    </row>
    <row r="112" customFormat="false" ht="15" hidden="false" customHeight="false" outlineLevel="0" collapsed="false">
      <c r="A112" s="22" t="str">
        <f aca="false">IF($I112="","",INDEX(Accounts!$A$12:$A$311,MATCH($I112,Accounts!$T$12:$T$311,0))&amp;"")</f>
        <v/>
      </c>
      <c r="B112" s="30" t="str">
        <f aca="false">IF($I112="","",IF(INDEX(Accounts!$R$12:$R$311,MATCH($I112,Accounts!$T$12:$T$311,0))="Check inputs","—",INDEX(Accounts!$B$12:$B$311,MATCH($I112,Accounts!$T$12:$T$311,0))))</f>
        <v/>
      </c>
      <c r="C112" s="30" t="str">
        <f aca="false">IF($I112="","",IF(INDEX(Accounts!$R$12:$R$311,MATCH($I112,Accounts!$T$12:$T$311,0))="Check inputs","—",INDEX(Accounts!$M$12:$M$311,MATCH($I112,Accounts!$T$12:$T$311,0))))</f>
        <v/>
      </c>
      <c r="D112" s="30" t="str">
        <f aca="false">IF($I112="","",IF(INDEX(Accounts!$R$12:$R$311,MATCH($I112,Accounts!$T$12:$T$311,0))="Check inputs","—",INDEX(Accounts!$N$12:$N$311,MATCH($I112,Accounts!$T$12:$T$311,0))))</f>
        <v/>
      </c>
      <c r="E112" s="31" t="str">
        <f aca="false">IF($I112="","",IF(INDEX(Accounts!$R$12:$R$311,MATCH($I112,Accounts!$T$12:$T$311,0))="Check inputs","—",INDEX(Accounts!$O$12:$O$311,MATCH($I112,Accounts!$T$12:$T$311,0))))</f>
        <v/>
      </c>
      <c r="F112" s="30" t="str">
        <f aca="false">IF($I112="","",IF(INDEX(Accounts!$R$12:$R$311,MATCH($I112,Accounts!$T$12:$T$311,0))="Check inputs","—",INDEX(Accounts!$P$12:$P$311,MATCH($I112,Accounts!$T$12:$T$311,0))))</f>
        <v/>
      </c>
      <c r="G112" s="30" t="str">
        <f aca="false">IF($I112="","",IF(INDEX(Accounts!$R$12:$R$311,MATCH($I112,Accounts!$T$12:$T$311,0))="Check inputs","—",INDEX(Accounts!$Q$12:$Q$311,MATCH($I112,Accounts!$T$12:$T$311,0))))</f>
        <v/>
      </c>
      <c r="H112" s="32" t="str">
        <f aca="false">IF($I112="","",IF(INDEX(Accounts!$R$12:$R$311,MATCH($I112,Accounts!$T$12:$T$311,0))="Check inputs","Check inputs: "&amp;INDEX(Accounts!$S$12:$S$311,MATCH($I112,Accounts!$T$12:$T$311,0)),INDEX(Accounts!$R$12:$R$311,MATCH($I112,Accounts!$T$12:$T$311,0))))</f>
        <v/>
      </c>
      <c r="I112" s="33" t="str">
        <f aca="false">IF(104&gt;COUNT(Accounts!$T$12:$T$311),"",SMALL(Accounts!$T$12:$T$311,104))</f>
        <v/>
      </c>
    </row>
    <row r="113" customFormat="false" ht="15" hidden="false" customHeight="false" outlineLevel="0" collapsed="false">
      <c r="A113" s="22" t="str">
        <f aca="false">IF($I113="","",INDEX(Accounts!$A$12:$A$311,MATCH($I113,Accounts!$T$12:$T$311,0))&amp;"")</f>
        <v/>
      </c>
      <c r="B113" s="30" t="str">
        <f aca="false">IF($I113="","",IF(INDEX(Accounts!$R$12:$R$311,MATCH($I113,Accounts!$T$12:$T$311,0))="Check inputs","—",INDEX(Accounts!$B$12:$B$311,MATCH($I113,Accounts!$T$12:$T$311,0))))</f>
        <v/>
      </c>
      <c r="C113" s="30" t="str">
        <f aca="false">IF($I113="","",IF(INDEX(Accounts!$R$12:$R$311,MATCH($I113,Accounts!$T$12:$T$311,0))="Check inputs","—",INDEX(Accounts!$M$12:$M$311,MATCH($I113,Accounts!$T$12:$T$311,0))))</f>
        <v/>
      </c>
      <c r="D113" s="30" t="str">
        <f aca="false">IF($I113="","",IF(INDEX(Accounts!$R$12:$R$311,MATCH($I113,Accounts!$T$12:$T$311,0))="Check inputs","—",INDEX(Accounts!$N$12:$N$311,MATCH($I113,Accounts!$T$12:$T$311,0))))</f>
        <v/>
      </c>
      <c r="E113" s="31" t="str">
        <f aca="false">IF($I113="","",IF(INDEX(Accounts!$R$12:$R$311,MATCH($I113,Accounts!$T$12:$T$311,0))="Check inputs","—",INDEX(Accounts!$O$12:$O$311,MATCH($I113,Accounts!$T$12:$T$311,0))))</f>
        <v/>
      </c>
      <c r="F113" s="30" t="str">
        <f aca="false">IF($I113="","",IF(INDEX(Accounts!$R$12:$R$311,MATCH($I113,Accounts!$T$12:$T$311,0))="Check inputs","—",INDEX(Accounts!$P$12:$P$311,MATCH($I113,Accounts!$T$12:$T$311,0))))</f>
        <v/>
      </c>
      <c r="G113" s="30" t="str">
        <f aca="false">IF($I113="","",IF(INDEX(Accounts!$R$12:$R$311,MATCH($I113,Accounts!$T$12:$T$311,0))="Check inputs","—",INDEX(Accounts!$Q$12:$Q$311,MATCH($I113,Accounts!$T$12:$T$311,0))))</f>
        <v/>
      </c>
      <c r="H113" s="32" t="str">
        <f aca="false">IF($I113="","",IF(INDEX(Accounts!$R$12:$R$311,MATCH($I113,Accounts!$T$12:$T$311,0))="Check inputs","Check inputs: "&amp;INDEX(Accounts!$S$12:$S$311,MATCH($I113,Accounts!$T$12:$T$311,0)),INDEX(Accounts!$R$12:$R$311,MATCH($I113,Accounts!$T$12:$T$311,0))))</f>
        <v/>
      </c>
      <c r="I113" s="33" t="str">
        <f aca="false">IF(105&gt;COUNT(Accounts!$T$12:$T$311),"",SMALL(Accounts!$T$12:$T$311,105))</f>
        <v/>
      </c>
    </row>
    <row r="114" customFormat="false" ht="15" hidden="false" customHeight="false" outlineLevel="0" collapsed="false">
      <c r="A114" s="22" t="str">
        <f aca="false">IF($I114="","",INDEX(Accounts!$A$12:$A$311,MATCH($I114,Accounts!$T$12:$T$311,0))&amp;"")</f>
        <v/>
      </c>
      <c r="B114" s="30" t="str">
        <f aca="false">IF($I114="","",IF(INDEX(Accounts!$R$12:$R$311,MATCH($I114,Accounts!$T$12:$T$311,0))="Check inputs","—",INDEX(Accounts!$B$12:$B$311,MATCH($I114,Accounts!$T$12:$T$311,0))))</f>
        <v/>
      </c>
      <c r="C114" s="30" t="str">
        <f aca="false">IF($I114="","",IF(INDEX(Accounts!$R$12:$R$311,MATCH($I114,Accounts!$T$12:$T$311,0))="Check inputs","—",INDEX(Accounts!$M$12:$M$311,MATCH($I114,Accounts!$T$12:$T$311,0))))</f>
        <v/>
      </c>
      <c r="D114" s="30" t="str">
        <f aca="false">IF($I114="","",IF(INDEX(Accounts!$R$12:$R$311,MATCH($I114,Accounts!$T$12:$T$311,0))="Check inputs","—",INDEX(Accounts!$N$12:$N$311,MATCH($I114,Accounts!$T$12:$T$311,0))))</f>
        <v/>
      </c>
      <c r="E114" s="31" t="str">
        <f aca="false">IF($I114="","",IF(INDEX(Accounts!$R$12:$R$311,MATCH($I114,Accounts!$T$12:$T$311,0))="Check inputs","—",INDEX(Accounts!$O$12:$O$311,MATCH($I114,Accounts!$T$12:$T$311,0))))</f>
        <v/>
      </c>
      <c r="F114" s="30" t="str">
        <f aca="false">IF($I114="","",IF(INDEX(Accounts!$R$12:$R$311,MATCH($I114,Accounts!$T$12:$T$311,0))="Check inputs","—",INDEX(Accounts!$P$12:$P$311,MATCH($I114,Accounts!$T$12:$T$311,0))))</f>
        <v/>
      </c>
      <c r="G114" s="30" t="str">
        <f aca="false">IF($I114="","",IF(INDEX(Accounts!$R$12:$R$311,MATCH($I114,Accounts!$T$12:$T$311,0))="Check inputs","—",INDEX(Accounts!$Q$12:$Q$311,MATCH($I114,Accounts!$T$12:$T$311,0))))</f>
        <v/>
      </c>
      <c r="H114" s="32" t="str">
        <f aca="false">IF($I114="","",IF(INDEX(Accounts!$R$12:$R$311,MATCH($I114,Accounts!$T$12:$T$311,0))="Check inputs","Check inputs: "&amp;INDEX(Accounts!$S$12:$S$311,MATCH($I114,Accounts!$T$12:$T$311,0)),INDEX(Accounts!$R$12:$R$311,MATCH($I114,Accounts!$T$12:$T$311,0))))</f>
        <v/>
      </c>
      <c r="I114" s="33" t="str">
        <f aca="false">IF(106&gt;COUNT(Accounts!$T$12:$T$311),"",SMALL(Accounts!$T$12:$T$311,106))</f>
        <v/>
      </c>
    </row>
    <row r="115" customFormat="false" ht="15" hidden="false" customHeight="false" outlineLevel="0" collapsed="false">
      <c r="A115" s="22" t="str">
        <f aca="false">IF($I115="","",INDEX(Accounts!$A$12:$A$311,MATCH($I115,Accounts!$T$12:$T$311,0))&amp;"")</f>
        <v/>
      </c>
      <c r="B115" s="30" t="str">
        <f aca="false">IF($I115="","",IF(INDEX(Accounts!$R$12:$R$311,MATCH($I115,Accounts!$T$12:$T$311,0))="Check inputs","—",INDEX(Accounts!$B$12:$B$311,MATCH($I115,Accounts!$T$12:$T$311,0))))</f>
        <v/>
      </c>
      <c r="C115" s="30" t="str">
        <f aca="false">IF($I115="","",IF(INDEX(Accounts!$R$12:$R$311,MATCH($I115,Accounts!$T$12:$T$311,0))="Check inputs","—",INDEX(Accounts!$M$12:$M$311,MATCH($I115,Accounts!$T$12:$T$311,0))))</f>
        <v/>
      </c>
      <c r="D115" s="30" t="str">
        <f aca="false">IF($I115="","",IF(INDEX(Accounts!$R$12:$R$311,MATCH($I115,Accounts!$T$12:$T$311,0))="Check inputs","—",INDEX(Accounts!$N$12:$N$311,MATCH($I115,Accounts!$T$12:$T$311,0))))</f>
        <v/>
      </c>
      <c r="E115" s="31" t="str">
        <f aca="false">IF($I115="","",IF(INDEX(Accounts!$R$12:$R$311,MATCH($I115,Accounts!$T$12:$T$311,0))="Check inputs","—",INDEX(Accounts!$O$12:$O$311,MATCH($I115,Accounts!$T$12:$T$311,0))))</f>
        <v/>
      </c>
      <c r="F115" s="30" t="str">
        <f aca="false">IF($I115="","",IF(INDEX(Accounts!$R$12:$R$311,MATCH($I115,Accounts!$T$12:$T$311,0))="Check inputs","—",INDEX(Accounts!$P$12:$P$311,MATCH($I115,Accounts!$T$12:$T$311,0))))</f>
        <v/>
      </c>
      <c r="G115" s="30" t="str">
        <f aca="false">IF($I115="","",IF(INDEX(Accounts!$R$12:$R$311,MATCH($I115,Accounts!$T$12:$T$311,0))="Check inputs","—",INDEX(Accounts!$Q$12:$Q$311,MATCH($I115,Accounts!$T$12:$T$311,0))))</f>
        <v/>
      </c>
      <c r="H115" s="32" t="str">
        <f aca="false">IF($I115="","",IF(INDEX(Accounts!$R$12:$R$311,MATCH($I115,Accounts!$T$12:$T$311,0))="Check inputs","Check inputs: "&amp;INDEX(Accounts!$S$12:$S$311,MATCH($I115,Accounts!$T$12:$T$311,0)),INDEX(Accounts!$R$12:$R$311,MATCH($I115,Accounts!$T$12:$T$311,0))))</f>
        <v/>
      </c>
      <c r="I115" s="33" t="str">
        <f aca="false">IF(107&gt;COUNT(Accounts!$T$12:$T$311),"",SMALL(Accounts!$T$12:$T$311,107))</f>
        <v/>
      </c>
    </row>
    <row r="116" customFormat="false" ht="15" hidden="false" customHeight="false" outlineLevel="0" collapsed="false">
      <c r="A116" s="22" t="str">
        <f aca="false">IF($I116="","",INDEX(Accounts!$A$12:$A$311,MATCH($I116,Accounts!$T$12:$T$311,0))&amp;"")</f>
        <v/>
      </c>
      <c r="B116" s="30" t="str">
        <f aca="false">IF($I116="","",IF(INDEX(Accounts!$R$12:$R$311,MATCH($I116,Accounts!$T$12:$T$311,0))="Check inputs","—",INDEX(Accounts!$B$12:$B$311,MATCH($I116,Accounts!$T$12:$T$311,0))))</f>
        <v/>
      </c>
      <c r="C116" s="30" t="str">
        <f aca="false">IF($I116="","",IF(INDEX(Accounts!$R$12:$R$311,MATCH($I116,Accounts!$T$12:$T$311,0))="Check inputs","—",INDEX(Accounts!$M$12:$M$311,MATCH($I116,Accounts!$T$12:$T$311,0))))</f>
        <v/>
      </c>
      <c r="D116" s="30" t="str">
        <f aca="false">IF($I116="","",IF(INDEX(Accounts!$R$12:$R$311,MATCH($I116,Accounts!$T$12:$T$311,0))="Check inputs","—",INDEX(Accounts!$N$12:$N$311,MATCH($I116,Accounts!$T$12:$T$311,0))))</f>
        <v/>
      </c>
      <c r="E116" s="31" t="str">
        <f aca="false">IF($I116="","",IF(INDEX(Accounts!$R$12:$R$311,MATCH($I116,Accounts!$T$12:$T$311,0))="Check inputs","—",INDEX(Accounts!$O$12:$O$311,MATCH($I116,Accounts!$T$12:$T$311,0))))</f>
        <v/>
      </c>
      <c r="F116" s="30" t="str">
        <f aca="false">IF($I116="","",IF(INDEX(Accounts!$R$12:$R$311,MATCH($I116,Accounts!$T$12:$T$311,0))="Check inputs","—",INDEX(Accounts!$P$12:$P$311,MATCH($I116,Accounts!$T$12:$T$311,0))))</f>
        <v/>
      </c>
      <c r="G116" s="30" t="str">
        <f aca="false">IF($I116="","",IF(INDEX(Accounts!$R$12:$R$311,MATCH($I116,Accounts!$T$12:$T$311,0))="Check inputs","—",INDEX(Accounts!$Q$12:$Q$311,MATCH($I116,Accounts!$T$12:$T$311,0))))</f>
        <v/>
      </c>
      <c r="H116" s="32" t="str">
        <f aca="false">IF($I116="","",IF(INDEX(Accounts!$R$12:$R$311,MATCH($I116,Accounts!$T$12:$T$311,0))="Check inputs","Check inputs: "&amp;INDEX(Accounts!$S$12:$S$311,MATCH($I116,Accounts!$T$12:$T$311,0)),INDEX(Accounts!$R$12:$R$311,MATCH($I116,Accounts!$T$12:$T$311,0))))</f>
        <v/>
      </c>
      <c r="I116" s="33" t="str">
        <f aca="false">IF(108&gt;COUNT(Accounts!$T$12:$T$311),"",SMALL(Accounts!$T$12:$T$311,108))</f>
        <v/>
      </c>
    </row>
    <row r="117" customFormat="false" ht="15" hidden="false" customHeight="false" outlineLevel="0" collapsed="false">
      <c r="A117" s="22" t="str">
        <f aca="false">IF($I117="","",INDEX(Accounts!$A$12:$A$311,MATCH($I117,Accounts!$T$12:$T$311,0))&amp;"")</f>
        <v/>
      </c>
      <c r="B117" s="30" t="str">
        <f aca="false">IF($I117="","",IF(INDEX(Accounts!$R$12:$R$311,MATCH($I117,Accounts!$T$12:$T$311,0))="Check inputs","—",INDEX(Accounts!$B$12:$B$311,MATCH($I117,Accounts!$T$12:$T$311,0))))</f>
        <v/>
      </c>
      <c r="C117" s="30" t="str">
        <f aca="false">IF($I117="","",IF(INDEX(Accounts!$R$12:$R$311,MATCH($I117,Accounts!$T$12:$T$311,0))="Check inputs","—",INDEX(Accounts!$M$12:$M$311,MATCH($I117,Accounts!$T$12:$T$311,0))))</f>
        <v/>
      </c>
      <c r="D117" s="30" t="str">
        <f aca="false">IF($I117="","",IF(INDEX(Accounts!$R$12:$R$311,MATCH($I117,Accounts!$T$12:$T$311,0))="Check inputs","—",INDEX(Accounts!$N$12:$N$311,MATCH($I117,Accounts!$T$12:$T$311,0))))</f>
        <v/>
      </c>
      <c r="E117" s="31" t="str">
        <f aca="false">IF($I117="","",IF(INDEX(Accounts!$R$12:$R$311,MATCH($I117,Accounts!$T$12:$T$311,0))="Check inputs","—",INDEX(Accounts!$O$12:$O$311,MATCH($I117,Accounts!$T$12:$T$311,0))))</f>
        <v/>
      </c>
      <c r="F117" s="30" t="str">
        <f aca="false">IF($I117="","",IF(INDEX(Accounts!$R$12:$R$311,MATCH($I117,Accounts!$T$12:$T$311,0))="Check inputs","—",INDEX(Accounts!$P$12:$P$311,MATCH($I117,Accounts!$T$12:$T$311,0))))</f>
        <v/>
      </c>
      <c r="G117" s="30" t="str">
        <f aca="false">IF($I117="","",IF(INDEX(Accounts!$R$12:$R$311,MATCH($I117,Accounts!$T$12:$T$311,0))="Check inputs","—",INDEX(Accounts!$Q$12:$Q$311,MATCH($I117,Accounts!$T$12:$T$311,0))))</f>
        <v/>
      </c>
      <c r="H117" s="32" t="str">
        <f aca="false">IF($I117="","",IF(INDEX(Accounts!$R$12:$R$311,MATCH($I117,Accounts!$T$12:$T$311,0))="Check inputs","Check inputs: "&amp;INDEX(Accounts!$S$12:$S$311,MATCH($I117,Accounts!$T$12:$T$311,0)),INDEX(Accounts!$R$12:$R$311,MATCH($I117,Accounts!$T$12:$T$311,0))))</f>
        <v/>
      </c>
      <c r="I117" s="33" t="str">
        <f aca="false">IF(109&gt;COUNT(Accounts!$T$12:$T$311),"",SMALL(Accounts!$T$12:$T$311,109))</f>
        <v/>
      </c>
    </row>
    <row r="118" customFormat="false" ht="15" hidden="false" customHeight="false" outlineLevel="0" collapsed="false">
      <c r="A118" s="22" t="str">
        <f aca="false">IF($I118="","",INDEX(Accounts!$A$12:$A$311,MATCH($I118,Accounts!$T$12:$T$311,0))&amp;"")</f>
        <v/>
      </c>
      <c r="B118" s="30" t="str">
        <f aca="false">IF($I118="","",IF(INDEX(Accounts!$R$12:$R$311,MATCH($I118,Accounts!$T$12:$T$311,0))="Check inputs","—",INDEX(Accounts!$B$12:$B$311,MATCH($I118,Accounts!$T$12:$T$311,0))))</f>
        <v/>
      </c>
      <c r="C118" s="30" t="str">
        <f aca="false">IF($I118="","",IF(INDEX(Accounts!$R$12:$R$311,MATCH($I118,Accounts!$T$12:$T$311,0))="Check inputs","—",INDEX(Accounts!$M$12:$M$311,MATCH($I118,Accounts!$T$12:$T$311,0))))</f>
        <v/>
      </c>
      <c r="D118" s="30" t="str">
        <f aca="false">IF($I118="","",IF(INDEX(Accounts!$R$12:$R$311,MATCH($I118,Accounts!$T$12:$T$311,0))="Check inputs","—",INDEX(Accounts!$N$12:$N$311,MATCH($I118,Accounts!$T$12:$T$311,0))))</f>
        <v/>
      </c>
      <c r="E118" s="31" t="str">
        <f aca="false">IF($I118="","",IF(INDEX(Accounts!$R$12:$R$311,MATCH($I118,Accounts!$T$12:$T$311,0))="Check inputs","—",INDEX(Accounts!$O$12:$O$311,MATCH($I118,Accounts!$T$12:$T$311,0))))</f>
        <v/>
      </c>
      <c r="F118" s="30" t="str">
        <f aca="false">IF($I118="","",IF(INDEX(Accounts!$R$12:$R$311,MATCH($I118,Accounts!$T$12:$T$311,0))="Check inputs","—",INDEX(Accounts!$P$12:$P$311,MATCH($I118,Accounts!$T$12:$T$311,0))))</f>
        <v/>
      </c>
      <c r="G118" s="30" t="str">
        <f aca="false">IF($I118="","",IF(INDEX(Accounts!$R$12:$R$311,MATCH($I118,Accounts!$T$12:$T$311,0))="Check inputs","—",INDEX(Accounts!$Q$12:$Q$311,MATCH($I118,Accounts!$T$12:$T$311,0))))</f>
        <v/>
      </c>
      <c r="H118" s="32" t="str">
        <f aca="false">IF($I118="","",IF(INDEX(Accounts!$R$12:$R$311,MATCH($I118,Accounts!$T$12:$T$311,0))="Check inputs","Check inputs: "&amp;INDEX(Accounts!$S$12:$S$311,MATCH($I118,Accounts!$T$12:$T$311,0)),INDEX(Accounts!$R$12:$R$311,MATCH($I118,Accounts!$T$12:$T$311,0))))</f>
        <v/>
      </c>
      <c r="I118" s="33" t="str">
        <f aca="false">IF(110&gt;COUNT(Accounts!$T$12:$T$311),"",SMALL(Accounts!$T$12:$T$311,110))</f>
        <v/>
      </c>
    </row>
    <row r="119" customFormat="false" ht="15" hidden="false" customHeight="false" outlineLevel="0" collapsed="false">
      <c r="A119" s="22" t="str">
        <f aca="false">IF($I119="","",INDEX(Accounts!$A$12:$A$311,MATCH($I119,Accounts!$T$12:$T$311,0))&amp;"")</f>
        <v/>
      </c>
      <c r="B119" s="30" t="str">
        <f aca="false">IF($I119="","",IF(INDEX(Accounts!$R$12:$R$311,MATCH($I119,Accounts!$T$12:$T$311,0))="Check inputs","—",INDEX(Accounts!$B$12:$B$311,MATCH($I119,Accounts!$T$12:$T$311,0))))</f>
        <v/>
      </c>
      <c r="C119" s="30" t="str">
        <f aca="false">IF($I119="","",IF(INDEX(Accounts!$R$12:$R$311,MATCH($I119,Accounts!$T$12:$T$311,0))="Check inputs","—",INDEX(Accounts!$M$12:$M$311,MATCH($I119,Accounts!$T$12:$T$311,0))))</f>
        <v/>
      </c>
      <c r="D119" s="30" t="str">
        <f aca="false">IF($I119="","",IF(INDEX(Accounts!$R$12:$R$311,MATCH($I119,Accounts!$T$12:$T$311,0))="Check inputs","—",INDEX(Accounts!$N$12:$N$311,MATCH($I119,Accounts!$T$12:$T$311,0))))</f>
        <v/>
      </c>
      <c r="E119" s="31" t="str">
        <f aca="false">IF($I119="","",IF(INDEX(Accounts!$R$12:$R$311,MATCH($I119,Accounts!$T$12:$T$311,0))="Check inputs","—",INDEX(Accounts!$O$12:$O$311,MATCH($I119,Accounts!$T$12:$T$311,0))))</f>
        <v/>
      </c>
      <c r="F119" s="30" t="str">
        <f aca="false">IF($I119="","",IF(INDEX(Accounts!$R$12:$R$311,MATCH($I119,Accounts!$T$12:$T$311,0))="Check inputs","—",INDEX(Accounts!$P$12:$P$311,MATCH($I119,Accounts!$T$12:$T$311,0))))</f>
        <v/>
      </c>
      <c r="G119" s="30" t="str">
        <f aca="false">IF($I119="","",IF(INDEX(Accounts!$R$12:$R$311,MATCH($I119,Accounts!$T$12:$T$311,0))="Check inputs","—",INDEX(Accounts!$Q$12:$Q$311,MATCH($I119,Accounts!$T$12:$T$311,0))))</f>
        <v/>
      </c>
      <c r="H119" s="32" t="str">
        <f aca="false">IF($I119="","",IF(INDEX(Accounts!$R$12:$R$311,MATCH($I119,Accounts!$T$12:$T$311,0))="Check inputs","Check inputs: "&amp;INDEX(Accounts!$S$12:$S$311,MATCH($I119,Accounts!$T$12:$T$311,0)),INDEX(Accounts!$R$12:$R$311,MATCH($I119,Accounts!$T$12:$T$311,0))))</f>
        <v/>
      </c>
      <c r="I119" s="33" t="str">
        <f aca="false">IF(111&gt;COUNT(Accounts!$T$12:$T$311),"",SMALL(Accounts!$T$12:$T$311,111))</f>
        <v/>
      </c>
    </row>
    <row r="120" customFormat="false" ht="15" hidden="false" customHeight="false" outlineLevel="0" collapsed="false">
      <c r="A120" s="22" t="str">
        <f aca="false">IF($I120="","",INDEX(Accounts!$A$12:$A$311,MATCH($I120,Accounts!$T$12:$T$311,0))&amp;"")</f>
        <v/>
      </c>
      <c r="B120" s="30" t="str">
        <f aca="false">IF($I120="","",IF(INDEX(Accounts!$R$12:$R$311,MATCH($I120,Accounts!$T$12:$T$311,0))="Check inputs","—",INDEX(Accounts!$B$12:$B$311,MATCH($I120,Accounts!$T$12:$T$311,0))))</f>
        <v/>
      </c>
      <c r="C120" s="30" t="str">
        <f aca="false">IF($I120="","",IF(INDEX(Accounts!$R$12:$R$311,MATCH($I120,Accounts!$T$12:$T$311,0))="Check inputs","—",INDEX(Accounts!$M$12:$M$311,MATCH($I120,Accounts!$T$12:$T$311,0))))</f>
        <v/>
      </c>
      <c r="D120" s="30" t="str">
        <f aca="false">IF($I120="","",IF(INDEX(Accounts!$R$12:$R$311,MATCH($I120,Accounts!$T$12:$T$311,0))="Check inputs","—",INDEX(Accounts!$N$12:$N$311,MATCH($I120,Accounts!$T$12:$T$311,0))))</f>
        <v/>
      </c>
      <c r="E120" s="31" t="str">
        <f aca="false">IF($I120="","",IF(INDEX(Accounts!$R$12:$R$311,MATCH($I120,Accounts!$T$12:$T$311,0))="Check inputs","—",INDEX(Accounts!$O$12:$O$311,MATCH($I120,Accounts!$T$12:$T$311,0))))</f>
        <v/>
      </c>
      <c r="F120" s="30" t="str">
        <f aca="false">IF($I120="","",IF(INDEX(Accounts!$R$12:$R$311,MATCH($I120,Accounts!$T$12:$T$311,0))="Check inputs","—",INDEX(Accounts!$P$12:$P$311,MATCH($I120,Accounts!$T$12:$T$311,0))))</f>
        <v/>
      </c>
      <c r="G120" s="30" t="str">
        <f aca="false">IF($I120="","",IF(INDEX(Accounts!$R$12:$R$311,MATCH($I120,Accounts!$T$12:$T$311,0))="Check inputs","—",INDEX(Accounts!$Q$12:$Q$311,MATCH($I120,Accounts!$T$12:$T$311,0))))</f>
        <v/>
      </c>
      <c r="H120" s="32" t="str">
        <f aca="false">IF($I120="","",IF(INDEX(Accounts!$R$12:$R$311,MATCH($I120,Accounts!$T$12:$T$311,0))="Check inputs","Check inputs: "&amp;INDEX(Accounts!$S$12:$S$311,MATCH($I120,Accounts!$T$12:$T$311,0)),INDEX(Accounts!$R$12:$R$311,MATCH($I120,Accounts!$T$12:$T$311,0))))</f>
        <v/>
      </c>
      <c r="I120" s="33" t="str">
        <f aca="false">IF(112&gt;COUNT(Accounts!$T$12:$T$311),"",SMALL(Accounts!$T$12:$T$311,112))</f>
        <v/>
      </c>
    </row>
    <row r="121" customFormat="false" ht="15" hidden="false" customHeight="false" outlineLevel="0" collapsed="false">
      <c r="A121" s="22" t="str">
        <f aca="false">IF($I121="","",INDEX(Accounts!$A$12:$A$311,MATCH($I121,Accounts!$T$12:$T$311,0))&amp;"")</f>
        <v/>
      </c>
      <c r="B121" s="30" t="str">
        <f aca="false">IF($I121="","",IF(INDEX(Accounts!$R$12:$R$311,MATCH($I121,Accounts!$T$12:$T$311,0))="Check inputs","—",INDEX(Accounts!$B$12:$B$311,MATCH($I121,Accounts!$T$12:$T$311,0))))</f>
        <v/>
      </c>
      <c r="C121" s="30" t="str">
        <f aca="false">IF($I121="","",IF(INDEX(Accounts!$R$12:$R$311,MATCH($I121,Accounts!$T$12:$T$311,0))="Check inputs","—",INDEX(Accounts!$M$12:$M$311,MATCH($I121,Accounts!$T$12:$T$311,0))))</f>
        <v/>
      </c>
      <c r="D121" s="30" t="str">
        <f aca="false">IF($I121="","",IF(INDEX(Accounts!$R$12:$R$311,MATCH($I121,Accounts!$T$12:$T$311,0))="Check inputs","—",INDEX(Accounts!$N$12:$N$311,MATCH($I121,Accounts!$T$12:$T$311,0))))</f>
        <v/>
      </c>
      <c r="E121" s="31" t="str">
        <f aca="false">IF($I121="","",IF(INDEX(Accounts!$R$12:$R$311,MATCH($I121,Accounts!$T$12:$T$311,0))="Check inputs","—",INDEX(Accounts!$O$12:$O$311,MATCH($I121,Accounts!$T$12:$T$311,0))))</f>
        <v/>
      </c>
      <c r="F121" s="30" t="str">
        <f aca="false">IF($I121="","",IF(INDEX(Accounts!$R$12:$R$311,MATCH($I121,Accounts!$T$12:$T$311,0))="Check inputs","—",INDEX(Accounts!$P$12:$P$311,MATCH($I121,Accounts!$T$12:$T$311,0))))</f>
        <v/>
      </c>
      <c r="G121" s="30" t="str">
        <f aca="false">IF($I121="","",IF(INDEX(Accounts!$R$12:$R$311,MATCH($I121,Accounts!$T$12:$T$311,0))="Check inputs","—",INDEX(Accounts!$Q$12:$Q$311,MATCH($I121,Accounts!$T$12:$T$311,0))))</f>
        <v/>
      </c>
      <c r="H121" s="32" t="str">
        <f aca="false">IF($I121="","",IF(INDEX(Accounts!$R$12:$R$311,MATCH($I121,Accounts!$T$12:$T$311,0))="Check inputs","Check inputs: "&amp;INDEX(Accounts!$S$12:$S$311,MATCH($I121,Accounts!$T$12:$T$311,0)),INDEX(Accounts!$R$12:$R$311,MATCH($I121,Accounts!$T$12:$T$311,0))))</f>
        <v/>
      </c>
      <c r="I121" s="33" t="str">
        <f aca="false">IF(113&gt;COUNT(Accounts!$T$12:$T$311),"",SMALL(Accounts!$T$12:$T$311,113))</f>
        <v/>
      </c>
    </row>
    <row r="122" customFormat="false" ht="15" hidden="false" customHeight="false" outlineLevel="0" collapsed="false">
      <c r="A122" s="22" t="str">
        <f aca="false">IF($I122="","",INDEX(Accounts!$A$12:$A$311,MATCH($I122,Accounts!$T$12:$T$311,0))&amp;"")</f>
        <v/>
      </c>
      <c r="B122" s="30" t="str">
        <f aca="false">IF($I122="","",IF(INDEX(Accounts!$R$12:$R$311,MATCH($I122,Accounts!$T$12:$T$311,0))="Check inputs","—",INDEX(Accounts!$B$12:$B$311,MATCH($I122,Accounts!$T$12:$T$311,0))))</f>
        <v/>
      </c>
      <c r="C122" s="30" t="str">
        <f aca="false">IF($I122="","",IF(INDEX(Accounts!$R$12:$R$311,MATCH($I122,Accounts!$T$12:$T$311,0))="Check inputs","—",INDEX(Accounts!$M$12:$M$311,MATCH($I122,Accounts!$T$12:$T$311,0))))</f>
        <v/>
      </c>
      <c r="D122" s="30" t="str">
        <f aca="false">IF($I122="","",IF(INDEX(Accounts!$R$12:$R$311,MATCH($I122,Accounts!$T$12:$T$311,0))="Check inputs","—",INDEX(Accounts!$N$12:$N$311,MATCH($I122,Accounts!$T$12:$T$311,0))))</f>
        <v/>
      </c>
      <c r="E122" s="31" t="str">
        <f aca="false">IF($I122="","",IF(INDEX(Accounts!$R$12:$R$311,MATCH($I122,Accounts!$T$12:$T$311,0))="Check inputs","—",INDEX(Accounts!$O$12:$O$311,MATCH($I122,Accounts!$T$12:$T$311,0))))</f>
        <v/>
      </c>
      <c r="F122" s="30" t="str">
        <f aca="false">IF($I122="","",IF(INDEX(Accounts!$R$12:$R$311,MATCH($I122,Accounts!$T$12:$T$311,0))="Check inputs","—",INDEX(Accounts!$P$12:$P$311,MATCH($I122,Accounts!$T$12:$T$311,0))))</f>
        <v/>
      </c>
      <c r="G122" s="30" t="str">
        <f aca="false">IF($I122="","",IF(INDEX(Accounts!$R$12:$R$311,MATCH($I122,Accounts!$T$12:$T$311,0))="Check inputs","—",INDEX(Accounts!$Q$12:$Q$311,MATCH($I122,Accounts!$T$12:$T$311,0))))</f>
        <v/>
      </c>
      <c r="H122" s="32" t="str">
        <f aca="false">IF($I122="","",IF(INDEX(Accounts!$R$12:$R$311,MATCH($I122,Accounts!$T$12:$T$311,0))="Check inputs","Check inputs: "&amp;INDEX(Accounts!$S$12:$S$311,MATCH($I122,Accounts!$T$12:$T$311,0)),INDEX(Accounts!$R$12:$R$311,MATCH($I122,Accounts!$T$12:$T$311,0))))</f>
        <v/>
      </c>
      <c r="I122" s="33" t="str">
        <f aca="false">IF(114&gt;COUNT(Accounts!$T$12:$T$311),"",SMALL(Accounts!$T$12:$T$311,114))</f>
        <v/>
      </c>
    </row>
    <row r="123" customFormat="false" ht="15" hidden="false" customHeight="false" outlineLevel="0" collapsed="false">
      <c r="A123" s="22" t="str">
        <f aca="false">IF($I123="","",INDEX(Accounts!$A$12:$A$311,MATCH($I123,Accounts!$T$12:$T$311,0))&amp;"")</f>
        <v/>
      </c>
      <c r="B123" s="30" t="str">
        <f aca="false">IF($I123="","",IF(INDEX(Accounts!$R$12:$R$311,MATCH($I123,Accounts!$T$12:$T$311,0))="Check inputs","—",INDEX(Accounts!$B$12:$B$311,MATCH($I123,Accounts!$T$12:$T$311,0))))</f>
        <v/>
      </c>
      <c r="C123" s="30" t="str">
        <f aca="false">IF($I123="","",IF(INDEX(Accounts!$R$12:$R$311,MATCH($I123,Accounts!$T$12:$T$311,0))="Check inputs","—",INDEX(Accounts!$M$12:$M$311,MATCH($I123,Accounts!$T$12:$T$311,0))))</f>
        <v/>
      </c>
      <c r="D123" s="30" t="str">
        <f aca="false">IF($I123="","",IF(INDEX(Accounts!$R$12:$R$311,MATCH($I123,Accounts!$T$12:$T$311,0))="Check inputs","—",INDEX(Accounts!$N$12:$N$311,MATCH($I123,Accounts!$T$12:$T$311,0))))</f>
        <v/>
      </c>
      <c r="E123" s="31" t="str">
        <f aca="false">IF($I123="","",IF(INDEX(Accounts!$R$12:$R$311,MATCH($I123,Accounts!$T$12:$T$311,0))="Check inputs","—",INDEX(Accounts!$O$12:$O$311,MATCH($I123,Accounts!$T$12:$T$311,0))))</f>
        <v/>
      </c>
      <c r="F123" s="30" t="str">
        <f aca="false">IF($I123="","",IF(INDEX(Accounts!$R$12:$R$311,MATCH($I123,Accounts!$T$12:$T$311,0))="Check inputs","—",INDEX(Accounts!$P$12:$P$311,MATCH($I123,Accounts!$T$12:$T$311,0))))</f>
        <v/>
      </c>
      <c r="G123" s="30" t="str">
        <f aca="false">IF($I123="","",IF(INDEX(Accounts!$R$12:$R$311,MATCH($I123,Accounts!$T$12:$T$311,0))="Check inputs","—",INDEX(Accounts!$Q$12:$Q$311,MATCH($I123,Accounts!$T$12:$T$311,0))))</f>
        <v/>
      </c>
      <c r="H123" s="32" t="str">
        <f aca="false">IF($I123="","",IF(INDEX(Accounts!$R$12:$R$311,MATCH($I123,Accounts!$T$12:$T$311,0))="Check inputs","Check inputs: "&amp;INDEX(Accounts!$S$12:$S$311,MATCH($I123,Accounts!$T$12:$T$311,0)),INDEX(Accounts!$R$12:$R$311,MATCH($I123,Accounts!$T$12:$T$311,0))))</f>
        <v/>
      </c>
      <c r="I123" s="33" t="str">
        <f aca="false">IF(115&gt;COUNT(Accounts!$T$12:$T$311),"",SMALL(Accounts!$T$12:$T$311,115))</f>
        <v/>
      </c>
    </row>
    <row r="124" customFormat="false" ht="15" hidden="false" customHeight="false" outlineLevel="0" collapsed="false">
      <c r="A124" s="22" t="str">
        <f aca="false">IF($I124="","",INDEX(Accounts!$A$12:$A$311,MATCH($I124,Accounts!$T$12:$T$311,0))&amp;"")</f>
        <v/>
      </c>
      <c r="B124" s="30" t="str">
        <f aca="false">IF($I124="","",IF(INDEX(Accounts!$R$12:$R$311,MATCH($I124,Accounts!$T$12:$T$311,0))="Check inputs","—",INDEX(Accounts!$B$12:$B$311,MATCH($I124,Accounts!$T$12:$T$311,0))))</f>
        <v/>
      </c>
      <c r="C124" s="30" t="str">
        <f aca="false">IF($I124="","",IF(INDEX(Accounts!$R$12:$R$311,MATCH($I124,Accounts!$T$12:$T$311,0))="Check inputs","—",INDEX(Accounts!$M$12:$M$311,MATCH($I124,Accounts!$T$12:$T$311,0))))</f>
        <v/>
      </c>
      <c r="D124" s="30" t="str">
        <f aca="false">IF($I124="","",IF(INDEX(Accounts!$R$12:$R$311,MATCH($I124,Accounts!$T$12:$T$311,0))="Check inputs","—",INDEX(Accounts!$N$12:$N$311,MATCH($I124,Accounts!$T$12:$T$311,0))))</f>
        <v/>
      </c>
      <c r="E124" s="31" t="str">
        <f aca="false">IF($I124="","",IF(INDEX(Accounts!$R$12:$R$311,MATCH($I124,Accounts!$T$12:$T$311,0))="Check inputs","—",INDEX(Accounts!$O$12:$O$311,MATCH($I124,Accounts!$T$12:$T$311,0))))</f>
        <v/>
      </c>
      <c r="F124" s="30" t="str">
        <f aca="false">IF($I124="","",IF(INDEX(Accounts!$R$12:$R$311,MATCH($I124,Accounts!$T$12:$T$311,0))="Check inputs","—",INDEX(Accounts!$P$12:$P$311,MATCH($I124,Accounts!$T$12:$T$311,0))))</f>
        <v/>
      </c>
      <c r="G124" s="30" t="str">
        <f aca="false">IF($I124="","",IF(INDEX(Accounts!$R$12:$R$311,MATCH($I124,Accounts!$T$12:$T$311,0))="Check inputs","—",INDEX(Accounts!$Q$12:$Q$311,MATCH($I124,Accounts!$T$12:$T$311,0))))</f>
        <v/>
      </c>
      <c r="H124" s="32" t="str">
        <f aca="false">IF($I124="","",IF(INDEX(Accounts!$R$12:$R$311,MATCH($I124,Accounts!$T$12:$T$311,0))="Check inputs","Check inputs: "&amp;INDEX(Accounts!$S$12:$S$311,MATCH($I124,Accounts!$T$12:$T$311,0)),INDEX(Accounts!$R$12:$R$311,MATCH($I124,Accounts!$T$12:$T$311,0))))</f>
        <v/>
      </c>
      <c r="I124" s="33" t="str">
        <f aca="false">IF(116&gt;COUNT(Accounts!$T$12:$T$311),"",SMALL(Accounts!$T$12:$T$311,116))</f>
        <v/>
      </c>
    </row>
    <row r="125" customFormat="false" ht="15" hidden="false" customHeight="false" outlineLevel="0" collapsed="false">
      <c r="A125" s="22" t="str">
        <f aca="false">IF($I125="","",INDEX(Accounts!$A$12:$A$311,MATCH($I125,Accounts!$T$12:$T$311,0))&amp;"")</f>
        <v/>
      </c>
      <c r="B125" s="30" t="str">
        <f aca="false">IF($I125="","",IF(INDEX(Accounts!$R$12:$R$311,MATCH($I125,Accounts!$T$12:$T$311,0))="Check inputs","—",INDEX(Accounts!$B$12:$B$311,MATCH($I125,Accounts!$T$12:$T$311,0))))</f>
        <v/>
      </c>
      <c r="C125" s="30" t="str">
        <f aca="false">IF($I125="","",IF(INDEX(Accounts!$R$12:$R$311,MATCH($I125,Accounts!$T$12:$T$311,0))="Check inputs","—",INDEX(Accounts!$M$12:$M$311,MATCH($I125,Accounts!$T$12:$T$311,0))))</f>
        <v/>
      </c>
      <c r="D125" s="30" t="str">
        <f aca="false">IF($I125="","",IF(INDEX(Accounts!$R$12:$R$311,MATCH($I125,Accounts!$T$12:$T$311,0))="Check inputs","—",INDEX(Accounts!$N$12:$N$311,MATCH($I125,Accounts!$T$12:$T$311,0))))</f>
        <v/>
      </c>
      <c r="E125" s="31" t="str">
        <f aca="false">IF($I125="","",IF(INDEX(Accounts!$R$12:$R$311,MATCH($I125,Accounts!$T$12:$T$311,0))="Check inputs","—",INDEX(Accounts!$O$12:$O$311,MATCH($I125,Accounts!$T$12:$T$311,0))))</f>
        <v/>
      </c>
      <c r="F125" s="30" t="str">
        <f aca="false">IF($I125="","",IF(INDEX(Accounts!$R$12:$R$311,MATCH($I125,Accounts!$T$12:$T$311,0))="Check inputs","—",INDEX(Accounts!$P$12:$P$311,MATCH($I125,Accounts!$T$12:$T$311,0))))</f>
        <v/>
      </c>
      <c r="G125" s="30" t="str">
        <f aca="false">IF($I125="","",IF(INDEX(Accounts!$R$12:$R$311,MATCH($I125,Accounts!$T$12:$T$311,0))="Check inputs","—",INDEX(Accounts!$Q$12:$Q$311,MATCH($I125,Accounts!$T$12:$T$311,0))))</f>
        <v/>
      </c>
      <c r="H125" s="32" t="str">
        <f aca="false">IF($I125="","",IF(INDEX(Accounts!$R$12:$R$311,MATCH($I125,Accounts!$T$12:$T$311,0))="Check inputs","Check inputs: "&amp;INDEX(Accounts!$S$12:$S$311,MATCH($I125,Accounts!$T$12:$T$311,0)),INDEX(Accounts!$R$12:$R$311,MATCH($I125,Accounts!$T$12:$T$311,0))))</f>
        <v/>
      </c>
      <c r="I125" s="33" t="str">
        <f aca="false">IF(117&gt;COUNT(Accounts!$T$12:$T$311),"",SMALL(Accounts!$T$12:$T$311,117))</f>
        <v/>
      </c>
    </row>
    <row r="126" customFormat="false" ht="15" hidden="false" customHeight="false" outlineLevel="0" collapsed="false">
      <c r="A126" s="22" t="str">
        <f aca="false">IF($I126="","",INDEX(Accounts!$A$12:$A$311,MATCH($I126,Accounts!$T$12:$T$311,0))&amp;"")</f>
        <v/>
      </c>
      <c r="B126" s="30" t="str">
        <f aca="false">IF($I126="","",IF(INDEX(Accounts!$R$12:$R$311,MATCH($I126,Accounts!$T$12:$T$311,0))="Check inputs","—",INDEX(Accounts!$B$12:$B$311,MATCH($I126,Accounts!$T$12:$T$311,0))))</f>
        <v/>
      </c>
      <c r="C126" s="30" t="str">
        <f aca="false">IF($I126="","",IF(INDEX(Accounts!$R$12:$R$311,MATCH($I126,Accounts!$T$12:$T$311,0))="Check inputs","—",INDEX(Accounts!$M$12:$M$311,MATCH($I126,Accounts!$T$12:$T$311,0))))</f>
        <v/>
      </c>
      <c r="D126" s="30" t="str">
        <f aca="false">IF($I126="","",IF(INDEX(Accounts!$R$12:$R$311,MATCH($I126,Accounts!$T$12:$T$311,0))="Check inputs","—",INDEX(Accounts!$N$12:$N$311,MATCH($I126,Accounts!$T$12:$T$311,0))))</f>
        <v/>
      </c>
      <c r="E126" s="31" t="str">
        <f aca="false">IF($I126="","",IF(INDEX(Accounts!$R$12:$R$311,MATCH($I126,Accounts!$T$12:$T$311,0))="Check inputs","—",INDEX(Accounts!$O$12:$O$311,MATCH($I126,Accounts!$T$12:$T$311,0))))</f>
        <v/>
      </c>
      <c r="F126" s="30" t="str">
        <f aca="false">IF($I126="","",IF(INDEX(Accounts!$R$12:$R$311,MATCH($I126,Accounts!$T$12:$T$311,0))="Check inputs","—",INDEX(Accounts!$P$12:$P$311,MATCH($I126,Accounts!$T$12:$T$311,0))))</f>
        <v/>
      </c>
      <c r="G126" s="30" t="str">
        <f aca="false">IF($I126="","",IF(INDEX(Accounts!$R$12:$R$311,MATCH($I126,Accounts!$T$12:$T$311,0))="Check inputs","—",INDEX(Accounts!$Q$12:$Q$311,MATCH($I126,Accounts!$T$12:$T$311,0))))</f>
        <v/>
      </c>
      <c r="H126" s="32" t="str">
        <f aca="false">IF($I126="","",IF(INDEX(Accounts!$R$12:$R$311,MATCH($I126,Accounts!$T$12:$T$311,0))="Check inputs","Check inputs: "&amp;INDEX(Accounts!$S$12:$S$311,MATCH($I126,Accounts!$T$12:$T$311,0)),INDEX(Accounts!$R$12:$R$311,MATCH($I126,Accounts!$T$12:$T$311,0))))</f>
        <v/>
      </c>
      <c r="I126" s="33" t="str">
        <f aca="false">IF(118&gt;COUNT(Accounts!$T$12:$T$311),"",SMALL(Accounts!$T$12:$T$311,118))</f>
        <v/>
      </c>
    </row>
    <row r="127" customFormat="false" ht="15" hidden="false" customHeight="false" outlineLevel="0" collapsed="false">
      <c r="A127" s="22" t="str">
        <f aca="false">IF($I127="","",INDEX(Accounts!$A$12:$A$311,MATCH($I127,Accounts!$T$12:$T$311,0))&amp;"")</f>
        <v/>
      </c>
      <c r="B127" s="30" t="str">
        <f aca="false">IF($I127="","",IF(INDEX(Accounts!$R$12:$R$311,MATCH($I127,Accounts!$T$12:$T$311,0))="Check inputs","—",INDEX(Accounts!$B$12:$B$311,MATCH($I127,Accounts!$T$12:$T$311,0))))</f>
        <v/>
      </c>
      <c r="C127" s="30" t="str">
        <f aca="false">IF($I127="","",IF(INDEX(Accounts!$R$12:$R$311,MATCH($I127,Accounts!$T$12:$T$311,0))="Check inputs","—",INDEX(Accounts!$M$12:$M$311,MATCH($I127,Accounts!$T$12:$T$311,0))))</f>
        <v/>
      </c>
      <c r="D127" s="30" t="str">
        <f aca="false">IF($I127="","",IF(INDEX(Accounts!$R$12:$R$311,MATCH($I127,Accounts!$T$12:$T$311,0))="Check inputs","—",INDEX(Accounts!$N$12:$N$311,MATCH($I127,Accounts!$T$12:$T$311,0))))</f>
        <v/>
      </c>
      <c r="E127" s="31" t="str">
        <f aca="false">IF($I127="","",IF(INDEX(Accounts!$R$12:$R$311,MATCH($I127,Accounts!$T$12:$T$311,0))="Check inputs","—",INDEX(Accounts!$O$12:$O$311,MATCH($I127,Accounts!$T$12:$T$311,0))))</f>
        <v/>
      </c>
      <c r="F127" s="30" t="str">
        <f aca="false">IF($I127="","",IF(INDEX(Accounts!$R$12:$R$311,MATCH($I127,Accounts!$T$12:$T$311,0))="Check inputs","—",INDEX(Accounts!$P$12:$P$311,MATCH($I127,Accounts!$T$12:$T$311,0))))</f>
        <v/>
      </c>
      <c r="G127" s="30" t="str">
        <f aca="false">IF($I127="","",IF(INDEX(Accounts!$R$12:$R$311,MATCH($I127,Accounts!$T$12:$T$311,0))="Check inputs","—",INDEX(Accounts!$Q$12:$Q$311,MATCH($I127,Accounts!$T$12:$T$311,0))))</f>
        <v/>
      </c>
      <c r="H127" s="32" t="str">
        <f aca="false">IF($I127="","",IF(INDEX(Accounts!$R$12:$R$311,MATCH($I127,Accounts!$T$12:$T$311,0))="Check inputs","Check inputs: "&amp;INDEX(Accounts!$S$12:$S$311,MATCH($I127,Accounts!$T$12:$T$311,0)),INDEX(Accounts!$R$12:$R$311,MATCH($I127,Accounts!$T$12:$T$311,0))))</f>
        <v/>
      </c>
      <c r="I127" s="33" t="str">
        <f aca="false">IF(119&gt;COUNT(Accounts!$T$12:$T$311),"",SMALL(Accounts!$T$12:$T$311,119))</f>
        <v/>
      </c>
    </row>
    <row r="128" customFormat="false" ht="15" hidden="false" customHeight="false" outlineLevel="0" collapsed="false">
      <c r="A128" s="22" t="str">
        <f aca="false">IF($I128="","",INDEX(Accounts!$A$12:$A$311,MATCH($I128,Accounts!$T$12:$T$311,0))&amp;"")</f>
        <v/>
      </c>
      <c r="B128" s="30" t="str">
        <f aca="false">IF($I128="","",IF(INDEX(Accounts!$R$12:$R$311,MATCH($I128,Accounts!$T$12:$T$311,0))="Check inputs","—",INDEX(Accounts!$B$12:$B$311,MATCH($I128,Accounts!$T$12:$T$311,0))))</f>
        <v/>
      </c>
      <c r="C128" s="30" t="str">
        <f aca="false">IF($I128="","",IF(INDEX(Accounts!$R$12:$R$311,MATCH($I128,Accounts!$T$12:$T$311,0))="Check inputs","—",INDEX(Accounts!$M$12:$M$311,MATCH($I128,Accounts!$T$12:$T$311,0))))</f>
        <v/>
      </c>
      <c r="D128" s="30" t="str">
        <f aca="false">IF($I128="","",IF(INDEX(Accounts!$R$12:$R$311,MATCH($I128,Accounts!$T$12:$T$311,0))="Check inputs","—",INDEX(Accounts!$N$12:$N$311,MATCH($I128,Accounts!$T$12:$T$311,0))))</f>
        <v/>
      </c>
      <c r="E128" s="31" t="str">
        <f aca="false">IF($I128="","",IF(INDEX(Accounts!$R$12:$R$311,MATCH($I128,Accounts!$T$12:$T$311,0))="Check inputs","—",INDEX(Accounts!$O$12:$O$311,MATCH($I128,Accounts!$T$12:$T$311,0))))</f>
        <v/>
      </c>
      <c r="F128" s="30" t="str">
        <f aca="false">IF($I128="","",IF(INDEX(Accounts!$R$12:$R$311,MATCH($I128,Accounts!$T$12:$T$311,0))="Check inputs","—",INDEX(Accounts!$P$12:$P$311,MATCH($I128,Accounts!$T$12:$T$311,0))))</f>
        <v/>
      </c>
      <c r="G128" s="30" t="str">
        <f aca="false">IF($I128="","",IF(INDEX(Accounts!$R$12:$R$311,MATCH($I128,Accounts!$T$12:$T$311,0))="Check inputs","—",INDEX(Accounts!$Q$12:$Q$311,MATCH($I128,Accounts!$T$12:$T$311,0))))</f>
        <v/>
      </c>
      <c r="H128" s="32" t="str">
        <f aca="false">IF($I128="","",IF(INDEX(Accounts!$R$12:$R$311,MATCH($I128,Accounts!$T$12:$T$311,0))="Check inputs","Check inputs: "&amp;INDEX(Accounts!$S$12:$S$311,MATCH($I128,Accounts!$T$12:$T$311,0)),INDEX(Accounts!$R$12:$R$311,MATCH($I128,Accounts!$T$12:$T$311,0))))</f>
        <v/>
      </c>
      <c r="I128" s="33" t="str">
        <f aca="false">IF(120&gt;COUNT(Accounts!$T$12:$T$311),"",SMALL(Accounts!$T$12:$T$311,120))</f>
        <v/>
      </c>
    </row>
    <row r="129" customFormat="false" ht="15" hidden="false" customHeight="false" outlineLevel="0" collapsed="false">
      <c r="A129" s="22" t="str">
        <f aca="false">IF($I129="","",INDEX(Accounts!$A$12:$A$311,MATCH($I129,Accounts!$T$12:$T$311,0))&amp;"")</f>
        <v/>
      </c>
      <c r="B129" s="30" t="str">
        <f aca="false">IF($I129="","",IF(INDEX(Accounts!$R$12:$R$311,MATCH($I129,Accounts!$T$12:$T$311,0))="Check inputs","—",INDEX(Accounts!$B$12:$B$311,MATCH($I129,Accounts!$T$12:$T$311,0))))</f>
        <v/>
      </c>
      <c r="C129" s="30" t="str">
        <f aca="false">IF($I129="","",IF(INDEX(Accounts!$R$12:$R$311,MATCH($I129,Accounts!$T$12:$T$311,0))="Check inputs","—",INDEX(Accounts!$M$12:$M$311,MATCH($I129,Accounts!$T$12:$T$311,0))))</f>
        <v/>
      </c>
      <c r="D129" s="30" t="str">
        <f aca="false">IF($I129="","",IF(INDEX(Accounts!$R$12:$R$311,MATCH($I129,Accounts!$T$12:$T$311,0))="Check inputs","—",INDEX(Accounts!$N$12:$N$311,MATCH($I129,Accounts!$T$12:$T$311,0))))</f>
        <v/>
      </c>
      <c r="E129" s="31" t="str">
        <f aca="false">IF($I129="","",IF(INDEX(Accounts!$R$12:$R$311,MATCH($I129,Accounts!$T$12:$T$311,0))="Check inputs","—",INDEX(Accounts!$O$12:$O$311,MATCH($I129,Accounts!$T$12:$T$311,0))))</f>
        <v/>
      </c>
      <c r="F129" s="30" t="str">
        <f aca="false">IF($I129="","",IF(INDEX(Accounts!$R$12:$R$311,MATCH($I129,Accounts!$T$12:$T$311,0))="Check inputs","—",INDEX(Accounts!$P$12:$P$311,MATCH($I129,Accounts!$T$12:$T$311,0))))</f>
        <v/>
      </c>
      <c r="G129" s="30" t="str">
        <f aca="false">IF($I129="","",IF(INDEX(Accounts!$R$12:$R$311,MATCH($I129,Accounts!$T$12:$T$311,0))="Check inputs","—",INDEX(Accounts!$Q$12:$Q$311,MATCH($I129,Accounts!$T$12:$T$311,0))))</f>
        <v/>
      </c>
      <c r="H129" s="32" t="str">
        <f aca="false">IF($I129="","",IF(INDEX(Accounts!$R$12:$R$311,MATCH($I129,Accounts!$T$12:$T$311,0))="Check inputs","Check inputs: "&amp;INDEX(Accounts!$S$12:$S$311,MATCH($I129,Accounts!$T$12:$T$311,0)),INDEX(Accounts!$R$12:$R$311,MATCH($I129,Accounts!$T$12:$T$311,0))))</f>
        <v/>
      </c>
      <c r="I129" s="33" t="str">
        <f aca="false">IF(121&gt;COUNT(Accounts!$T$12:$T$311),"",SMALL(Accounts!$T$12:$T$311,121))</f>
        <v/>
      </c>
    </row>
    <row r="130" customFormat="false" ht="15" hidden="false" customHeight="false" outlineLevel="0" collapsed="false">
      <c r="A130" s="22" t="str">
        <f aca="false">IF($I130="","",INDEX(Accounts!$A$12:$A$311,MATCH($I130,Accounts!$T$12:$T$311,0))&amp;"")</f>
        <v/>
      </c>
      <c r="B130" s="30" t="str">
        <f aca="false">IF($I130="","",IF(INDEX(Accounts!$R$12:$R$311,MATCH($I130,Accounts!$T$12:$T$311,0))="Check inputs","—",INDEX(Accounts!$B$12:$B$311,MATCH($I130,Accounts!$T$12:$T$311,0))))</f>
        <v/>
      </c>
      <c r="C130" s="30" t="str">
        <f aca="false">IF($I130="","",IF(INDEX(Accounts!$R$12:$R$311,MATCH($I130,Accounts!$T$12:$T$311,0))="Check inputs","—",INDEX(Accounts!$M$12:$M$311,MATCH($I130,Accounts!$T$12:$T$311,0))))</f>
        <v/>
      </c>
      <c r="D130" s="30" t="str">
        <f aca="false">IF($I130="","",IF(INDEX(Accounts!$R$12:$R$311,MATCH($I130,Accounts!$T$12:$T$311,0))="Check inputs","—",INDEX(Accounts!$N$12:$N$311,MATCH($I130,Accounts!$T$12:$T$311,0))))</f>
        <v/>
      </c>
      <c r="E130" s="31" t="str">
        <f aca="false">IF($I130="","",IF(INDEX(Accounts!$R$12:$R$311,MATCH($I130,Accounts!$T$12:$T$311,0))="Check inputs","—",INDEX(Accounts!$O$12:$O$311,MATCH($I130,Accounts!$T$12:$T$311,0))))</f>
        <v/>
      </c>
      <c r="F130" s="30" t="str">
        <f aca="false">IF($I130="","",IF(INDEX(Accounts!$R$12:$R$311,MATCH($I130,Accounts!$T$12:$T$311,0))="Check inputs","—",INDEX(Accounts!$P$12:$P$311,MATCH($I130,Accounts!$T$12:$T$311,0))))</f>
        <v/>
      </c>
      <c r="G130" s="30" t="str">
        <f aca="false">IF($I130="","",IF(INDEX(Accounts!$R$12:$R$311,MATCH($I130,Accounts!$T$12:$T$311,0))="Check inputs","—",INDEX(Accounts!$Q$12:$Q$311,MATCH($I130,Accounts!$T$12:$T$311,0))))</f>
        <v/>
      </c>
      <c r="H130" s="32" t="str">
        <f aca="false">IF($I130="","",IF(INDEX(Accounts!$R$12:$R$311,MATCH($I130,Accounts!$T$12:$T$311,0))="Check inputs","Check inputs: "&amp;INDEX(Accounts!$S$12:$S$311,MATCH($I130,Accounts!$T$12:$T$311,0)),INDEX(Accounts!$R$12:$R$311,MATCH($I130,Accounts!$T$12:$T$311,0))))</f>
        <v/>
      </c>
      <c r="I130" s="33" t="str">
        <f aca="false">IF(122&gt;COUNT(Accounts!$T$12:$T$311),"",SMALL(Accounts!$T$12:$T$311,122))</f>
        <v/>
      </c>
    </row>
    <row r="131" customFormat="false" ht="15" hidden="false" customHeight="false" outlineLevel="0" collapsed="false">
      <c r="A131" s="22" t="str">
        <f aca="false">IF($I131="","",INDEX(Accounts!$A$12:$A$311,MATCH($I131,Accounts!$T$12:$T$311,0))&amp;"")</f>
        <v/>
      </c>
      <c r="B131" s="30" t="str">
        <f aca="false">IF($I131="","",IF(INDEX(Accounts!$R$12:$R$311,MATCH($I131,Accounts!$T$12:$T$311,0))="Check inputs","—",INDEX(Accounts!$B$12:$B$311,MATCH($I131,Accounts!$T$12:$T$311,0))))</f>
        <v/>
      </c>
      <c r="C131" s="30" t="str">
        <f aca="false">IF($I131="","",IF(INDEX(Accounts!$R$12:$R$311,MATCH($I131,Accounts!$T$12:$T$311,0))="Check inputs","—",INDEX(Accounts!$M$12:$M$311,MATCH($I131,Accounts!$T$12:$T$311,0))))</f>
        <v/>
      </c>
      <c r="D131" s="30" t="str">
        <f aca="false">IF($I131="","",IF(INDEX(Accounts!$R$12:$R$311,MATCH($I131,Accounts!$T$12:$T$311,0))="Check inputs","—",INDEX(Accounts!$N$12:$N$311,MATCH($I131,Accounts!$T$12:$T$311,0))))</f>
        <v/>
      </c>
      <c r="E131" s="31" t="str">
        <f aca="false">IF($I131="","",IF(INDEX(Accounts!$R$12:$R$311,MATCH($I131,Accounts!$T$12:$T$311,0))="Check inputs","—",INDEX(Accounts!$O$12:$O$311,MATCH($I131,Accounts!$T$12:$T$311,0))))</f>
        <v/>
      </c>
      <c r="F131" s="30" t="str">
        <f aca="false">IF($I131="","",IF(INDEX(Accounts!$R$12:$R$311,MATCH($I131,Accounts!$T$12:$T$311,0))="Check inputs","—",INDEX(Accounts!$P$12:$P$311,MATCH($I131,Accounts!$T$12:$T$311,0))))</f>
        <v/>
      </c>
      <c r="G131" s="30" t="str">
        <f aca="false">IF($I131="","",IF(INDEX(Accounts!$R$12:$R$311,MATCH($I131,Accounts!$T$12:$T$311,0))="Check inputs","—",INDEX(Accounts!$Q$12:$Q$311,MATCH($I131,Accounts!$T$12:$T$311,0))))</f>
        <v/>
      </c>
      <c r="H131" s="32" t="str">
        <f aca="false">IF($I131="","",IF(INDEX(Accounts!$R$12:$R$311,MATCH($I131,Accounts!$T$12:$T$311,0))="Check inputs","Check inputs: "&amp;INDEX(Accounts!$S$12:$S$311,MATCH($I131,Accounts!$T$12:$T$311,0)),INDEX(Accounts!$R$12:$R$311,MATCH($I131,Accounts!$T$12:$T$311,0))))</f>
        <v/>
      </c>
      <c r="I131" s="33" t="str">
        <f aca="false">IF(123&gt;COUNT(Accounts!$T$12:$T$311),"",SMALL(Accounts!$T$12:$T$311,123))</f>
        <v/>
      </c>
    </row>
    <row r="132" customFormat="false" ht="15" hidden="false" customHeight="false" outlineLevel="0" collapsed="false">
      <c r="A132" s="22" t="str">
        <f aca="false">IF($I132="","",INDEX(Accounts!$A$12:$A$311,MATCH($I132,Accounts!$T$12:$T$311,0))&amp;"")</f>
        <v/>
      </c>
      <c r="B132" s="30" t="str">
        <f aca="false">IF($I132="","",IF(INDEX(Accounts!$R$12:$R$311,MATCH($I132,Accounts!$T$12:$T$311,0))="Check inputs","—",INDEX(Accounts!$B$12:$B$311,MATCH($I132,Accounts!$T$12:$T$311,0))))</f>
        <v/>
      </c>
      <c r="C132" s="30" t="str">
        <f aca="false">IF($I132="","",IF(INDEX(Accounts!$R$12:$R$311,MATCH($I132,Accounts!$T$12:$T$311,0))="Check inputs","—",INDEX(Accounts!$M$12:$M$311,MATCH($I132,Accounts!$T$12:$T$311,0))))</f>
        <v/>
      </c>
      <c r="D132" s="30" t="str">
        <f aca="false">IF($I132="","",IF(INDEX(Accounts!$R$12:$R$311,MATCH($I132,Accounts!$T$12:$T$311,0))="Check inputs","—",INDEX(Accounts!$N$12:$N$311,MATCH($I132,Accounts!$T$12:$T$311,0))))</f>
        <v/>
      </c>
      <c r="E132" s="31" t="str">
        <f aca="false">IF($I132="","",IF(INDEX(Accounts!$R$12:$R$311,MATCH($I132,Accounts!$T$12:$T$311,0))="Check inputs","—",INDEX(Accounts!$O$12:$O$311,MATCH($I132,Accounts!$T$12:$T$311,0))))</f>
        <v/>
      </c>
      <c r="F132" s="30" t="str">
        <f aca="false">IF($I132="","",IF(INDEX(Accounts!$R$12:$R$311,MATCH($I132,Accounts!$T$12:$T$311,0))="Check inputs","—",INDEX(Accounts!$P$12:$P$311,MATCH($I132,Accounts!$T$12:$T$311,0))))</f>
        <v/>
      </c>
      <c r="G132" s="30" t="str">
        <f aca="false">IF($I132="","",IF(INDEX(Accounts!$R$12:$R$311,MATCH($I132,Accounts!$T$12:$T$311,0))="Check inputs","—",INDEX(Accounts!$Q$12:$Q$311,MATCH($I132,Accounts!$T$12:$T$311,0))))</f>
        <v/>
      </c>
      <c r="H132" s="32" t="str">
        <f aca="false">IF($I132="","",IF(INDEX(Accounts!$R$12:$R$311,MATCH($I132,Accounts!$T$12:$T$311,0))="Check inputs","Check inputs: "&amp;INDEX(Accounts!$S$12:$S$311,MATCH($I132,Accounts!$T$12:$T$311,0)),INDEX(Accounts!$R$12:$R$311,MATCH($I132,Accounts!$T$12:$T$311,0))))</f>
        <v/>
      </c>
      <c r="I132" s="33" t="str">
        <f aca="false">IF(124&gt;COUNT(Accounts!$T$12:$T$311),"",SMALL(Accounts!$T$12:$T$311,124))</f>
        <v/>
      </c>
    </row>
    <row r="133" customFormat="false" ht="15" hidden="false" customHeight="false" outlineLevel="0" collapsed="false">
      <c r="A133" s="22" t="str">
        <f aca="false">IF($I133="","",INDEX(Accounts!$A$12:$A$311,MATCH($I133,Accounts!$T$12:$T$311,0))&amp;"")</f>
        <v/>
      </c>
      <c r="B133" s="30" t="str">
        <f aca="false">IF($I133="","",IF(INDEX(Accounts!$R$12:$R$311,MATCH($I133,Accounts!$T$12:$T$311,0))="Check inputs","—",INDEX(Accounts!$B$12:$B$311,MATCH($I133,Accounts!$T$12:$T$311,0))))</f>
        <v/>
      </c>
      <c r="C133" s="30" t="str">
        <f aca="false">IF($I133="","",IF(INDEX(Accounts!$R$12:$R$311,MATCH($I133,Accounts!$T$12:$T$311,0))="Check inputs","—",INDEX(Accounts!$M$12:$M$311,MATCH($I133,Accounts!$T$12:$T$311,0))))</f>
        <v/>
      </c>
      <c r="D133" s="30" t="str">
        <f aca="false">IF($I133="","",IF(INDEX(Accounts!$R$12:$R$311,MATCH($I133,Accounts!$T$12:$T$311,0))="Check inputs","—",INDEX(Accounts!$N$12:$N$311,MATCH($I133,Accounts!$T$12:$T$311,0))))</f>
        <v/>
      </c>
      <c r="E133" s="31" t="str">
        <f aca="false">IF($I133="","",IF(INDEX(Accounts!$R$12:$R$311,MATCH($I133,Accounts!$T$12:$T$311,0))="Check inputs","—",INDEX(Accounts!$O$12:$O$311,MATCH($I133,Accounts!$T$12:$T$311,0))))</f>
        <v/>
      </c>
      <c r="F133" s="30" t="str">
        <f aca="false">IF($I133="","",IF(INDEX(Accounts!$R$12:$R$311,MATCH($I133,Accounts!$T$12:$T$311,0))="Check inputs","—",INDEX(Accounts!$P$12:$P$311,MATCH($I133,Accounts!$T$12:$T$311,0))))</f>
        <v/>
      </c>
      <c r="G133" s="30" t="str">
        <f aca="false">IF($I133="","",IF(INDEX(Accounts!$R$12:$R$311,MATCH($I133,Accounts!$T$12:$T$311,0))="Check inputs","—",INDEX(Accounts!$Q$12:$Q$311,MATCH($I133,Accounts!$T$12:$T$311,0))))</f>
        <v/>
      </c>
      <c r="H133" s="32" t="str">
        <f aca="false">IF($I133="","",IF(INDEX(Accounts!$R$12:$R$311,MATCH($I133,Accounts!$T$12:$T$311,0))="Check inputs","Check inputs: "&amp;INDEX(Accounts!$S$12:$S$311,MATCH($I133,Accounts!$T$12:$T$311,0)),INDEX(Accounts!$R$12:$R$311,MATCH($I133,Accounts!$T$12:$T$311,0))))</f>
        <v/>
      </c>
      <c r="I133" s="33" t="str">
        <f aca="false">IF(125&gt;COUNT(Accounts!$T$12:$T$311),"",SMALL(Accounts!$T$12:$T$311,125))</f>
        <v/>
      </c>
    </row>
    <row r="134" customFormat="false" ht="15" hidden="false" customHeight="false" outlineLevel="0" collapsed="false">
      <c r="A134" s="22" t="str">
        <f aca="false">IF($I134="","",INDEX(Accounts!$A$12:$A$311,MATCH($I134,Accounts!$T$12:$T$311,0))&amp;"")</f>
        <v/>
      </c>
      <c r="B134" s="30" t="str">
        <f aca="false">IF($I134="","",IF(INDEX(Accounts!$R$12:$R$311,MATCH($I134,Accounts!$T$12:$T$311,0))="Check inputs","—",INDEX(Accounts!$B$12:$B$311,MATCH($I134,Accounts!$T$12:$T$311,0))))</f>
        <v/>
      </c>
      <c r="C134" s="30" t="str">
        <f aca="false">IF($I134="","",IF(INDEX(Accounts!$R$12:$R$311,MATCH($I134,Accounts!$T$12:$T$311,0))="Check inputs","—",INDEX(Accounts!$M$12:$M$311,MATCH($I134,Accounts!$T$12:$T$311,0))))</f>
        <v/>
      </c>
      <c r="D134" s="30" t="str">
        <f aca="false">IF($I134="","",IF(INDEX(Accounts!$R$12:$R$311,MATCH($I134,Accounts!$T$12:$T$311,0))="Check inputs","—",INDEX(Accounts!$N$12:$N$311,MATCH($I134,Accounts!$T$12:$T$311,0))))</f>
        <v/>
      </c>
      <c r="E134" s="31" t="str">
        <f aca="false">IF($I134="","",IF(INDEX(Accounts!$R$12:$R$311,MATCH($I134,Accounts!$T$12:$T$311,0))="Check inputs","—",INDEX(Accounts!$O$12:$O$311,MATCH($I134,Accounts!$T$12:$T$311,0))))</f>
        <v/>
      </c>
      <c r="F134" s="30" t="str">
        <f aca="false">IF($I134="","",IF(INDEX(Accounts!$R$12:$R$311,MATCH($I134,Accounts!$T$12:$T$311,0))="Check inputs","—",INDEX(Accounts!$P$12:$P$311,MATCH($I134,Accounts!$T$12:$T$311,0))))</f>
        <v/>
      </c>
      <c r="G134" s="30" t="str">
        <f aca="false">IF($I134="","",IF(INDEX(Accounts!$R$12:$R$311,MATCH($I134,Accounts!$T$12:$T$311,0))="Check inputs","—",INDEX(Accounts!$Q$12:$Q$311,MATCH($I134,Accounts!$T$12:$T$311,0))))</f>
        <v/>
      </c>
      <c r="H134" s="32" t="str">
        <f aca="false">IF($I134="","",IF(INDEX(Accounts!$R$12:$R$311,MATCH($I134,Accounts!$T$12:$T$311,0))="Check inputs","Check inputs: "&amp;INDEX(Accounts!$S$12:$S$311,MATCH($I134,Accounts!$T$12:$T$311,0)),INDEX(Accounts!$R$12:$R$311,MATCH($I134,Accounts!$T$12:$T$311,0))))</f>
        <v/>
      </c>
      <c r="I134" s="33" t="str">
        <f aca="false">IF(126&gt;COUNT(Accounts!$T$12:$T$311),"",SMALL(Accounts!$T$12:$T$311,126))</f>
        <v/>
      </c>
    </row>
    <row r="135" customFormat="false" ht="15" hidden="false" customHeight="false" outlineLevel="0" collapsed="false">
      <c r="A135" s="22" t="str">
        <f aca="false">IF($I135="","",INDEX(Accounts!$A$12:$A$311,MATCH($I135,Accounts!$T$12:$T$311,0))&amp;"")</f>
        <v/>
      </c>
      <c r="B135" s="30" t="str">
        <f aca="false">IF($I135="","",IF(INDEX(Accounts!$R$12:$R$311,MATCH($I135,Accounts!$T$12:$T$311,0))="Check inputs","—",INDEX(Accounts!$B$12:$B$311,MATCH($I135,Accounts!$T$12:$T$311,0))))</f>
        <v/>
      </c>
      <c r="C135" s="30" t="str">
        <f aca="false">IF($I135="","",IF(INDEX(Accounts!$R$12:$R$311,MATCH($I135,Accounts!$T$12:$T$311,0))="Check inputs","—",INDEX(Accounts!$M$12:$M$311,MATCH($I135,Accounts!$T$12:$T$311,0))))</f>
        <v/>
      </c>
      <c r="D135" s="30" t="str">
        <f aca="false">IF($I135="","",IF(INDEX(Accounts!$R$12:$R$311,MATCH($I135,Accounts!$T$12:$T$311,0))="Check inputs","—",INDEX(Accounts!$N$12:$N$311,MATCH($I135,Accounts!$T$12:$T$311,0))))</f>
        <v/>
      </c>
      <c r="E135" s="31" t="str">
        <f aca="false">IF($I135="","",IF(INDEX(Accounts!$R$12:$R$311,MATCH($I135,Accounts!$T$12:$T$311,0))="Check inputs","—",INDEX(Accounts!$O$12:$O$311,MATCH($I135,Accounts!$T$12:$T$311,0))))</f>
        <v/>
      </c>
      <c r="F135" s="30" t="str">
        <f aca="false">IF($I135="","",IF(INDEX(Accounts!$R$12:$R$311,MATCH($I135,Accounts!$T$12:$T$311,0))="Check inputs","—",INDEX(Accounts!$P$12:$P$311,MATCH($I135,Accounts!$T$12:$T$311,0))))</f>
        <v/>
      </c>
      <c r="G135" s="30" t="str">
        <f aca="false">IF($I135="","",IF(INDEX(Accounts!$R$12:$R$311,MATCH($I135,Accounts!$T$12:$T$311,0))="Check inputs","—",INDEX(Accounts!$Q$12:$Q$311,MATCH($I135,Accounts!$T$12:$T$311,0))))</f>
        <v/>
      </c>
      <c r="H135" s="32" t="str">
        <f aca="false">IF($I135="","",IF(INDEX(Accounts!$R$12:$R$311,MATCH($I135,Accounts!$T$12:$T$311,0))="Check inputs","Check inputs: "&amp;INDEX(Accounts!$S$12:$S$311,MATCH($I135,Accounts!$T$12:$T$311,0)),INDEX(Accounts!$R$12:$R$311,MATCH($I135,Accounts!$T$12:$T$311,0))))</f>
        <v/>
      </c>
      <c r="I135" s="33" t="str">
        <f aca="false">IF(127&gt;COUNT(Accounts!$T$12:$T$311),"",SMALL(Accounts!$T$12:$T$311,127))</f>
        <v/>
      </c>
    </row>
    <row r="136" customFormat="false" ht="15" hidden="false" customHeight="false" outlineLevel="0" collapsed="false">
      <c r="A136" s="22" t="str">
        <f aca="false">IF($I136="","",INDEX(Accounts!$A$12:$A$311,MATCH($I136,Accounts!$T$12:$T$311,0))&amp;"")</f>
        <v/>
      </c>
      <c r="B136" s="30" t="str">
        <f aca="false">IF($I136="","",IF(INDEX(Accounts!$R$12:$R$311,MATCH($I136,Accounts!$T$12:$T$311,0))="Check inputs","—",INDEX(Accounts!$B$12:$B$311,MATCH($I136,Accounts!$T$12:$T$311,0))))</f>
        <v/>
      </c>
      <c r="C136" s="30" t="str">
        <f aca="false">IF($I136="","",IF(INDEX(Accounts!$R$12:$R$311,MATCH($I136,Accounts!$T$12:$T$311,0))="Check inputs","—",INDEX(Accounts!$M$12:$M$311,MATCH($I136,Accounts!$T$12:$T$311,0))))</f>
        <v/>
      </c>
      <c r="D136" s="30" t="str">
        <f aca="false">IF($I136="","",IF(INDEX(Accounts!$R$12:$R$311,MATCH($I136,Accounts!$T$12:$T$311,0))="Check inputs","—",INDEX(Accounts!$N$12:$N$311,MATCH($I136,Accounts!$T$12:$T$311,0))))</f>
        <v/>
      </c>
      <c r="E136" s="31" t="str">
        <f aca="false">IF($I136="","",IF(INDEX(Accounts!$R$12:$R$311,MATCH($I136,Accounts!$T$12:$T$311,0))="Check inputs","—",INDEX(Accounts!$O$12:$O$311,MATCH($I136,Accounts!$T$12:$T$311,0))))</f>
        <v/>
      </c>
      <c r="F136" s="30" t="str">
        <f aca="false">IF($I136="","",IF(INDEX(Accounts!$R$12:$R$311,MATCH($I136,Accounts!$T$12:$T$311,0))="Check inputs","—",INDEX(Accounts!$P$12:$P$311,MATCH($I136,Accounts!$T$12:$T$311,0))))</f>
        <v/>
      </c>
      <c r="G136" s="30" t="str">
        <f aca="false">IF($I136="","",IF(INDEX(Accounts!$R$12:$R$311,MATCH($I136,Accounts!$T$12:$T$311,0))="Check inputs","—",INDEX(Accounts!$Q$12:$Q$311,MATCH($I136,Accounts!$T$12:$T$311,0))))</f>
        <v/>
      </c>
      <c r="H136" s="32" t="str">
        <f aca="false">IF($I136="","",IF(INDEX(Accounts!$R$12:$R$311,MATCH($I136,Accounts!$T$12:$T$311,0))="Check inputs","Check inputs: "&amp;INDEX(Accounts!$S$12:$S$311,MATCH($I136,Accounts!$T$12:$T$311,0)),INDEX(Accounts!$R$12:$R$311,MATCH($I136,Accounts!$T$12:$T$311,0))))</f>
        <v/>
      </c>
      <c r="I136" s="33" t="str">
        <f aca="false">IF(128&gt;COUNT(Accounts!$T$12:$T$311),"",SMALL(Accounts!$T$12:$T$311,128))</f>
        <v/>
      </c>
    </row>
    <row r="137" customFormat="false" ht="15" hidden="false" customHeight="false" outlineLevel="0" collapsed="false">
      <c r="A137" s="22" t="str">
        <f aca="false">IF($I137="","",INDEX(Accounts!$A$12:$A$311,MATCH($I137,Accounts!$T$12:$T$311,0))&amp;"")</f>
        <v/>
      </c>
      <c r="B137" s="30" t="str">
        <f aca="false">IF($I137="","",IF(INDEX(Accounts!$R$12:$R$311,MATCH($I137,Accounts!$T$12:$T$311,0))="Check inputs","—",INDEX(Accounts!$B$12:$B$311,MATCH($I137,Accounts!$T$12:$T$311,0))))</f>
        <v/>
      </c>
      <c r="C137" s="30" t="str">
        <f aca="false">IF($I137="","",IF(INDEX(Accounts!$R$12:$R$311,MATCH($I137,Accounts!$T$12:$T$311,0))="Check inputs","—",INDEX(Accounts!$M$12:$M$311,MATCH($I137,Accounts!$T$12:$T$311,0))))</f>
        <v/>
      </c>
      <c r="D137" s="30" t="str">
        <f aca="false">IF($I137="","",IF(INDEX(Accounts!$R$12:$R$311,MATCH($I137,Accounts!$T$12:$T$311,0))="Check inputs","—",INDEX(Accounts!$N$12:$N$311,MATCH($I137,Accounts!$T$12:$T$311,0))))</f>
        <v/>
      </c>
      <c r="E137" s="31" t="str">
        <f aca="false">IF($I137="","",IF(INDEX(Accounts!$R$12:$R$311,MATCH($I137,Accounts!$T$12:$T$311,0))="Check inputs","—",INDEX(Accounts!$O$12:$O$311,MATCH($I137,Accounts!$T$12:$T$311,0))))</f>
        <v/>
      </c>
      <c r="F137" s="30" t="str">
        <f aca="false">IF($I137="","",IF(INDEX(Accounts!$R$12:$R$311,MATCH($I137,Accounts!$T$12:$T$311,0))="Check inputs","—",INDEX(Accounts!$P$12:$P$311,MATCH($I137,Accounts!$T$12:$T$311,0))))</f>
        <v/>
      </c>
      <c r="G137" s="30" t="str">
        <f aca="false">IF($I137="","",IF(INDEX(Accounts!$R$12:$R$311,MATCH($I137,Accounts!$T$12:$T$311,0))="Check inputs","—",INDEX(Accounts!$Q$12:$Q$311,MATCH($I137,Accounts!$T$12:$T$311,0))))</f>
        <v/>
      </c>
      <c r="H137" s="32" t="str">
        <f aca="false">IF($I137="","",IF(INDEX(Accounts!$R$12:$R$311,MATCH($I137,Accounts!$T$12:$T$311,0))="Check inputs","Check inputs: "&amp;INDEX(Accounts!$S$12:$S$311,MATCH($I137,Accounts!$T$12:$T$311,0)),INDEX(Accounts!$R$12:$R$311,MATCH($I137,Accounts!$T$12:$T$311,0))))</f>
        <v/>
      </c>
      <c r="I137" s="33" t="str">
        <f aca="false">IF(129&gt;COUNT(Accounts!$T$12:$T$311),"",SMALL(Accounts!$T$12:$T$311,129))</f>
        <v/>
      </c>
    </row>
    <row r="138" customFormat="false" ht="15" hidden="false" customHeight="false" outlineLevel="0" collapsed="false">
      <c r="A138" s="22" t="str">
        <f aca="false">IF($I138="","",INDEX(Accounts!$A$12:$A$311,MATCH($I138,Accounts!$T$12:$T$311,0))&amp;"")</f>
        <v/>
      </c>
      <c r="B138" s="30" t="str">
        <f aca="false">IF($I138="","",IF(INDEX(Accounts!$R$12:$R$311,MATCH($I138,Accounts!$T$12:$T$311,0))="Check inputs","—",INDEX(Accounts!$B$12:$B$311,MATCH($I138,Accounts!$T$12:$T$311,0))))</f>
        <v/>
      </c>
      <c r="C138" s="30" t="str">
        <f aca="false">IF($I138="","",IF(INDEX(Accounts!$R$12:$R$311,MATCH($I138,Accounts!$T$12:$T$311,0))="Check inputs","—",INDEX(Accounts!$M$12:$M$311,MATCH($I138,Accounts!$T$12:$T$311,0))))</f>
        <v/>
      </c>
      <c r="D138" s="30" t="str">
        <f aca="false">IF($I138="","",IF(INDEX(Accounts!$R$12:$R$311,MATCH($I138,Accounts!$T$12:$T$311,0))="Check inputs","—",INDEX(Accounts!$N$12:$N$311,MATCH($I138,Accounts!$T$12:$T$311,0))))</f>
        <v/>
      </c>
      <c r="E138" s="31" t="str">
        <f aca="false">IF($I138="","",IF(INDEX(Accounts!$R$12:$R$311,MATCH($I138,Accounts!$T$12:$T$311,0))="Check inputs","—",INDEX(Accounts!$O$12:$O$311,MATCH($I138,Accounts!$T$12:$T$311,0))))</f>
        <v/>
      </c>
      <c r="F138" s="30" t="str">
        <f aca="false">IF($I138="","",IF(INDEX(Accounts!$R$12:$R$311,MATCH($I138,Accounts!$T$12:$T$311,0))="Check inputs","—",INDEX(Accounts!$P$12:$P$311,MATCH($I138,Accounts!$T$12:$T$311,0))))</f>
        <v/>
      </c>
      <c r="G138" s="30" t="str">
        <f aca="false">IF($I138="","",IF(INDEX(Accounts!$R$12:$R$311,MATCH($I138,Accounts!$T$12:$T$311,0))="Check inputs","—",INDEX(Accounts!$Q$12:$Q$311,MATCH($I138,Accounts!$T$12:$T$311,0))))</f>
        <v/>
      </c>
      <c r="H138" s="32" t="str">
        <f aca="false">IF($I138="","",IF(INDEX(Accounts!$R$12:$R$311,MATCH($I138,Accounts!$T$12:$T$311,0))="Check inputs","Check inputs: "&amp;INDEX(Accounts!$S$12:$S$311,MATCH($I138,Accounts!$T$12:$T$311,0)),INDEX(Accounts!$R$12:$R$311,MATCH($I138,Accounts!$T$12:$T$311,0))))</f>
        <v/>
      </c>
      <c r="I138" s="33" t="str">
        <f aca="false">IF(130&gt;COUNT(Accounts!$T$12:$T$311),"",SMALL(Accounts!$T$12:$T$311,130))</f>
        <v/>
      </c>
    </row>
    <row r="139" customFormat="false" ht="15" hidden="false" customHeight="false" outlineLevel="0" collapsed="false">
      <c r="A139" s="22" t="str">
        <f aca="false">IF($I139="","",INDEX(Accounts!$A$12:$A$311,MATCH($I139,Accounts!$T$12:$T$311,0))&amp;"")</f>
        <v/>
      </c>
      <c r="B139" s="30" t="str">
        <f aca="false">IF($I139="","",IF(INDEX(Accounts!$R$12:$R$311,MATCH($I139,Accounts!$T$12:$T$311,0))="Check inputs","—",INDEX(Accounts!$B$12:$B$311,MATCH($I139,Accounts!$T$12:$T$311,0))))</f>
        <v/>
      </c>
      <c r="C139" s="30" t="str">
        <f aca="false">IF($I139="","",IF(INDEX(Accounts!$R$12:$R$311,MATCH($I139,Accounts!$T$12:$T$311,0))="Check inputs","—",INDEX(Accounts!$M$12:$M$311,MATCH($I139,Accounts!$T$12:$T$311,0))))</f>
        <v/>
      </c>
      <c r="D139" s="30" t="str">
        <f aca="false">IF($I139="","",IF(INDEX(Accounts!$R$12:$R$311,MATCH($I139,Accounts!$T$12:$T$311,0))="Check inputs","—",INDEX(Accounts!$N$12:$N$311,MATCH($I139,Accounts!$T$12:$T$311,0))))</f>
        <v/>
      </c>
      <c r="E139" s="31" t="str">
        <f aca="false">IF($I139="","",IF(INDEX(Accounts!$R$12:$R$311,MATCH($I139,Accounts!$T$12:$T$311,0))="Check inputs","—",INDEX(Accounts!$O$12:$O$311,MATCH($I139,Accounts!$T$12:$T$311,0))))</f>
        <v/>
      </c>
      <c r="F139" s="30" t="str">
        <f aca="false">IF($I139="","",IF(INDEX(Accounts!$R$12:$R$311,MATCH($I139,Accounts!$T$12:$T$311,0))="Check inputs","—",INDEX(Accounts!$P$12:$P$311,MATCH($I139,Accounts!$T$12:$T$311,0))))</f>
        <v/>
      </c>
      <c r="G139" s="30" t="str">
        <f aca="false">IF($I139="","",IF(INDEX(Accounts!$R$12:$R$311,MATCH($I139,Accounts!$T$12:$T$311,0))="Check inputs","—",INDEX(Accounts!$Q$12:$Q$311,MATCH($I139,Accounts!$T$12:$T$311,0))))</f>
        <v/>
      </c>
      <c r="H139" s="32" t="str">
        <f aca="false">IF($I139="","",IF(INDEX(Accounts!$R$12:$R$311,MATCH($I139,Accounts!$T$12:$T$311,0))="Check inputs","Check inputs: "&amp;INDEX(Accounts!$S$12:$S$311,MATCH($I139,Accounts!$T$12:$T$311,0)),INDEX(Accounts!$R$12:$R$311,MATCH($I139,Accounts!$T$12:$T$311,0))))</f>
        <v/>
      </c>
      <c r="I139" s="33" t="str">
        <f aca="false">IF(131&gt;COUNT(Accounts!$T$12:$T$311),"",SMALL(Accounts!$T$12:$T$311,131))</f>
        <v/>
      </c>
    </row>
    <row r="140" customFormat="false" ht="15" hidden="false" customHeight="false" outlineLevel="0" collapsed="false">
      <c r="A140" s="22" t="str">
        <f aca="false">IF($I140="","",INDEX(Accounts!$A$12:$A$311,MATCH($I140,Accounts!$T$12:$T$311,0))&amp;"")</f>
        <v/>
      </c>
      <c r="B140" s="30" t="str">
        <f aca="false">IF($I140="","",IF(INDEX(Accounts!$R$12:$R$311,MATCH($I140,Accounts!$T$12:$T$311,0))="Check inputs","—",INDEX(Accounts!$B$12:$B$311,MATCH($I140,Accounts!$T$12:$T$311,0))))</f>
        <v/>
      </c>
      <c r="C140" s="30" t="str">
        <f aca="false">IF($I140="","",IF(INDEX(Accounts!$R$12:$R$311,MATCH($I140,Accounts!$T$12:$T$311,0))="Check inputs","—",INDEX(Accounts!$M$12:$M$311,MATCH($I140,Accounts!$T$12:$T$311,0))))</f>
        <v/>
      </c>
      <c r="D140" s="30" t="str">
        <f aca="false">IF($I140="","",IF(INDEX(Accounts!$R$12:$R$311,MATCH($I140,Accounts!$T$12:$T$311,0))="Check inputs","—",INDEX(Accounts!$N$12:$N$311,MATCH($I140,Accounts!$T$12:$T$311,0))))</f>
        <v/>
      </c>
      <c r="E140" s="31" t="str">
        <f aca="false">IF($I140="","",IF(INDEX(Accounts!$R$12:$R$311,MATCH($I140,Accounts!$T$12:$T$311,0))="Check inputs","—",INDEX(Accounts!$O$12:$O$311,MATCH($I140,Accounts!$T$12:$T$311,0))))</f>
        <v/>
      </c>
      <c r="F140" s="30" t="str">
        <f aca="false">IF($I140="","",IF(INDEX(Accounts!$R$12:$R$311,MATCH($I140,Accounts!$T$12:$T$311,0))="Check inputs","—",INDEX(Accounts!$P$12:$P$311,MATCH($I140,Accounts!$T$12:$T$311,0))))</f>
        <v/>
      </c>
      <c r="G140" s="30" t="str">
        <f aca="false">IF($I140="","",IF(INDEX(Accounts!$R$12:$R$311,MATCH($I140,Accounts!$T$12:$T$311,0))="Check inputs","—",INDEX(Accounts!$Q$12:$Q$311,MATCH($I140,Accounts!$T$12:$T$311,0))))</f>
        <v/>
      </c>
      <c r="H140" s="32" t="str">
        <f aca="false">IF($I140="","",IF(INDEX(Accounts!$R$12:$R$311,MATCH($I140,Accounts!$T$12:$T$311,0))="Check inputs","Check inputs: "&amp;INDEX(Accounts!$S$12:$S$311,MATCH($I140,Accounts!$T$12:$T$311,0)),INDEX(Accounts!$R$12:$R$311,MATCH($I140,Accounts!$T$12:$T$311,0))))</f>
        <v/>
      </c>
      <c r="I140" s="33" t="str">
        <f aca="false">IF(132&gt;COUNT(Accounts!$T$12:$T$311),"",SMALL(Accounts!$T$12:$T$311,132))</f>
        <v/>
      </c>
    </row>
    <row r="141" customFormat="false" ht="15" hidden="false" customHeight="false" outlineLevel="0" collapsed="false">
      <c r="A141" s="22" t="str">
        <f aca="false">IF($I141="","",INDEX(Accounts!$A$12:$A$311,MATCH($I141,Accounts!$T$12:$T$311,0))&amp;"")</f>
        <v/>
      </c>
      <c r="B141" s="30" t="str">
        <f aca="false">IF($I141="","",IF(INDEX(Accounts!$R$12:$R$311,MATCH($I141,Accounts!$T$12:$T$311,0))="Check inputs","—",INDEX(Accounts!$B$12:$B$311,MATCH($I141,Accounts!$T$12:$T$311,0))))</f>
        <v/>
      </c>
      <c r="C141" s="30" t="str">
        <f aca="false">IF($I141="","",IF(INDEX(Accounts!$R$12:$R$311,MATCH($I141,Accounts!$T$12:$T$311,0))="Check inputs","—",INDEX(Accounts!$M$12:$M$311,MATCH($I141,Accounts!$T$12:$T$311,0))))</f>
        <v/>
      </c>
      <c r="D141" s="30" t="str">
        <f aca="false">IF($I141="","",IF(INDEX(Accounts!$R$12:$R$311,MATCH($I141,Accounts!$T$12:$T$311,0))="Check inputs","—",INDEX(Accounts!$N$12:$N$311,MATCH($I141,Accounts!$T$12:$T$311,0))))</f>
        <v/>
      </c>
      <c r="E141" s="31" t="str">
        <f aca="false">IF($I141="","",IF(INDEX(Accounts!$R$12:$R$311,MATCH($I141,Accounts!$T$12:$T$311,0))="Check inputs","—",INDEX(Accounts!$O$12:$O$311,MATCH($I141,Accounts!$T$12:$T$311,0))))</f>
        <v/>
      </c>
      <c r="F141" s="30" t="str">
        <f aca="false">IF($I141="","",IF(INDEX(Accounts!$R$12:$R$311,MATCH($I141,Accounts!$T$12:$T$311,0))="Check inputs","—",INDEX(Accounts!$P$12:$P$311,MATCH($I141,Accounts!$T$12:$T$311,0))))</f>
        <v/>
      </c>
      <c r="G141" s="30" t="str">
        <f aca="false">IF($I141="","",IF(INDEX(Accounts!$R$12:$R$311,MATCH($I141,Accounts!$T$12:$T$311,0))="Check inputs","—",INDEX(Accounts!$Q$12:$Q$311,MATCH($I141,Accounts!$T$12:$T$311,0))))</f>
        <v/>
      </c>
      <c r="H141" s="32" t="str">
        <f aca="false">IF($I141="","",IF(INDEX(Accounts!$R$12:$R$311,MATCH($I141,Accounts!$T$12:$T$311,0))="Check inputs","Check inputs: "&amp;INDEX(Accounts!$S$12:$S$311,MATCH($I141,Accounts!$T$12:$T$311,0)),INDEX(Accounts!$R$12:$R$311,MATCH($I141,Accounts!$T$12:$T$311,0))))</f>
        <v/>
      </c>
      <c r="I141" s="33" t="str">
        <f aca="false">IF(133&gt;COUNT(Accounts!$T$12:$T$311),"",SMALL(Accounts!$T$12:$T$311,133))</f>
        <v/>
      </c>
    </row>
    <row r="142" customFormat="false" ht="15" hidden="false" customHeight="false" outlineLevel="0" collapsed="false">
      <c r="A142" s="22" t="str">
        <f aca="false">IF($I142="","",INDEX(Accounts!$A$12:$A$311,MATCH($I142,Accounts!$T$12:$T$311,0))&amp;"")</f>
        <v/>
      </c>
      <c r="B142" s="30" t="str">
        <f aca="false">IF($I142="","",IF(INDEX(Accounts!$R$12:$R$311,MATCH($I142,Accounts!$T$12:$T$311,0))="Check inputs","—",INDEX(Accounts!$B$12:$B$311,MATCH($I142,Accounts!$T$12:$T$311,0))))</f>
        <v/>
      </c>
      <c r="C142" s="30" t="str">
        <f aca="false">IF($I142="","",IF(INDEX(Accounts!$R$12:$R$311,MATCH($I142,Accounts!$T$12:$T$311,0))="Check inputs","—",INDEX(Accounts!$M$12:$M$311,MATCH($I142,Accounts!$T$12:$T$311,0))))</f>
        <v/>
      </c>
      <c r="D142" s="30" t="str">
        <f aca="false">IF($I142="","",IF(INDEX(Accounts!$R$12:$R$311,MATCH($I142,Accounts!$T$12:$T$311,0))="Check inputs","—",INDEX(Accounts!$N$12:$N$311,MATCH($I142,Accounts!$T$12:$T$311,0))))</f>
        <v/>
      </c>
      <c r="E142" s="31" t="str">
        <f aca="false">IF($I142="","",IF(INDEX(Accounts!$R$12:$R$311,MATCH($I142,Accounts!$T$12:$T$311,0))="Check inputs","—",INDEX(Accounts!$O$12:$O$311,MATCH($I142,Accounts!$T$12:$T$311,0))))</f>
        <v/>
      </c>
      <c r="F142" s="30" t="str">
        <f aca="false">IF($I142="","",IF(INDEX(Accounts!$R$12:$R$311,MATCH($I142,Accounts!$T$12:$T$311,0))="Check inputs","—",INDEX(Accounts!$P$12:$P$311,MATCH($I142,Accounts!$T$12:$T$311,0))))</f>
        <v/>
      </c>
      <c r="G142" s="30" t="str">
        <f aca="false">IF($I142="","",IF(INDEX(Accounts!$R$12:$R$311,MATCH($I142,Accounts!$T$12:$T$311,0))="Check inputs","—",INDEX(Accounts!$Q$12:$Q$311,MATCH($I142,Accounts!$T$12:$T$311,0))))</f>
        <v/>
      </c>
      <c r="H142" s="32" t="str">
        <f aca="false">IF($I142="","",IF(INDEX(Accounts!$R$12:$R$311,MATCH($I142,Accounts!$T$12:$T$311,0))="Check inputs","Check inputs: "&amp;INDEX(Accounts!$S$12:$S$311,MATCH($I142,Accounts!$T$12:$T$311,0)),INDEX(Accounts!$R$12:$R$311,MATCH($I142,Accounts!$T$12:$T$311,0))))</f>
        <v/>
      </c>
      <c r="I142" s="33" t="str">
        <f aca="false">IF(134&gt;COUNT(Accounts!$T$12:$T$311),"",SMALL(Accounts!$T$12:$T$311,134))</f>
        <v/>
      </c>
    </row>
    <row r="143" customFormat="false" ht="15" hidden="false" customHeight="false" outlineLevel="0" collapsed="false">
      <c r="A143" s="22" t="str">
        <f aca="false">IF($I143="","",INDEX(Accounts!$A$12:$A$311,MATCH($I143,Accounts!$T$12:$T$311,0))&amp;"")</f>
        <v/>
      </c>
      <c r="B143" s="30" t="str">
        <f aca="false">IF($I143="","",IF(INDEX(Accounts!$R$12:$R$311,MATCH($I143,Accounts!$T$12:$T$311,0))="Check inputs","—",INDEX(Accounts!$B$12:$B$311,MATCH($I143,Accounts!$T$12:$T$311,0))))</f>
        <v/>
      </c>
      <c r="C143" s="30" t="str">
        <f aca="false">IF($I143="","",IF(INDEX(Accounts!$R$12:$R$311,MATCH($I143,Accounts!$T$12:$T$311,0))="Check inputs","—",INDEX(Accounts!$M$12:$M$311,MATCH($I143,Accounts!$T$12:$T$311,0))))</f>
        <v/>
      </c>
      <c r="D143" s="30" t="str">
        <f aca="false">IF($I143="","",IF(INDEX(Accounts!$R$12:$R$311,MATCH($I143,Accounts!$T$12:$T$311,0))="Check inputs","—",INDEX(Accounts!$N$12:$N$311,MATCH($I143,Accounts!$T$12:$T$311,0))))</f>
        <v/>
      </c>
      <c r="E143" s="31" t="str">
        <f aca="false">IF($I143="","",IF(INDEX(Accounts!$R$12:$R$311,MATCH($I143,Accounts!$T$12:$T$311,0))="Check inputs","—",INDEX(Accounts!$O$12:$O$311,MATCH($I143,Accounts!$T$12:$T$311,0))))</f>
        <v/>
      </c>
      <c r="F143" s="30" t="str">
        <f aca="false">IF($I143="","",IF(INDEX(Accounts!$R$12:$R$311,MATCH($I143,Accounts!$T$12:$T$311,0))="Check inputs","—",INDEX(Accounts!$P$12:$P$311,MATCH($I143,Accounts!$T$12:$T$311,0))))</f>
        <v/>
      </c>
      <c r="G143" s="30" t="str">
        <f aca="false">IF($I143="","",IF(INDEX(Accounts!$R$12:$R$311,MATCH($I143,Accounts!$T$12:$T$311,0))="Check inputs","—",INDEX(Accounts!$Q$12:$Q$311,MATCH($I143,Accounts!$T$12:$T$311,0))))</f>
        <v/>
      </c>
      <c r="H143" s="32" t="str">
        <f aca="false">IF($I143="","",IF(INDEX(Accounts!$R$12:$R$311,MATCH($I143,Accounts!$T$12:$T$311,0))="Check inputs","Check inputs: "&amp;INDEX(Accounts!$S$12:$S$311,MATCH($I143,Accounts!$T$12:$T$311,0)),INDEX(Accounts!$R$12:$R$311,MATCH($I143,Accounts!$T$12:$T$311,0))))</f>
        <v/>
      </c>
      <c r="I143" s="33" t="str">
        <f aca="false">IF(135&gt;COUNT(Accounts!$T$12:$T$311),"",SMALL(Accounts!$T$12:$T$311,135))</f>
        <v/>
      </c>
    </row>
    <row r="144" customFormat="false" ht="15" hidden="false" customHeight="false" outlineLevel="0" collapsed="false">
      <c r="A144" s="22" t="str">
        <f aca="false">IF($I144="","",INDEX(Accounts!$A$12:$A$311,MATCH($I144,Accounts!$T$12:$T$311,0))&amp;"")</f>
        <v/>
      </c>
      <c r="B144" s="30" t="str">
        <f aca="false">IF($I144="","",IF(INDEX(Accounts!$R$12:$R$311,MATCH($I144,Accounts!$T$12:$T$311,0))="Check inputs","—",INDEX(Accounts!$B$12:$B$311,MATCH($I144,Accounts!$T$12:$T$311,0))))</f>
        <v/>
      </c>
      <c r="C144" s="30" t="str">
        <f aca="false">IF($I144="","",IF(INDEX(Accounts!$R$12:$R$311,MATCH($I144,Accounts!$T$12:$T$311,0))="Check inputs","—",INDEX(Accounts!$M$12:$M$311,MATCH($I144,Accounts!$T$12:$T$311,0))))</f>
        <v/>
      </c>
      <c r="D144" s="30" t="str">
        <f aca="false">IF($I144="","",IF(INDEX(Accounts!$R$12:$R$311,MATCH($I144,Accounts!$T$12:$T$311,0))="Check inputs","—",INDEX(Accounts!$N$12:$N$311,MATCH($I144,Accounts!$T$12:$T$311,0))))</f>
        <v/>
      </c>
      <c r="E144" s="31" t="str">
        <f aca="false">IF($I144="","",IF(INDEX(Accounts!$R$12:$R$311,MATCH($I144,Accounts!$T$12:$T$311,0))="Check inputs","—",INDEX(Accounts!$O$12:$O$311,MATCH($I144,Accounts!$T$12:$T$311,0))))</f>
        <v/>
      </c>
      <c r="F144" s="30" t="str">
        <f aca="false">IF($I144="","",IF(INDEX(Accounts!$R$12:$R$311,MATCH($I144,Accounts!$T$12:$T$311,0))="Check inputs","—",INDEX(Accounts!$P$12:$P$311,MATCH($I144,Accounts!$T$12:$T$311,0))))</f>
        <v/>
      </c>
      <c r="G144" s="30" t="str">
        <f aca="false">IF($I144="","",IF(INDEX(Accounts!$R$12:$R$311,MATCH($I144,Accounts!$T$12:$T$311,0))="Check inputs","—",INDEX(Accounts!$Q$12:$Q$311,MATCH($I144,Accounts!$T$12:$T$311,0))))</f>
        <v/>
      </c>
      <c r="H144" s="32" t="str">
        <f aca="false">IF($I144="","",IF(INDEX(Accounts!$R$12:$R$311,MATCH($I144,Accounts!$T$12:$T$311,0))="Check inputs","Check inputs: "&amp;INDEX(Accounts!$S$12:$S$311,MATCH($I144,Accounts!$T$12:$T$311,0)),INDEX(Accounts!$R$12:$R$311,MATCH($I144,Accounts!$T$12:$T$311,0))))</f>
        <v/>
      </c>
      <c r="I144" s="33" t="str">
        <f aca="false">IF(136&gt;COUNT(Accounts!$T$12:$T$311),"",SMALL(Accounts!$T$12:$T$311,136))</f>
        <v/>
      </c>
    </row>
    <row r="145" customFormat="false" ht="15" hidden="false" customHeight="false" outlineLevel="0" collapsed="false">
      <c r="A145" s="22" t="str">
        <f aca="false">IF($I145="","",INDEX(Accounts!$A$12:$A$311,MATCH($I145,Accounts!$T$12:$T$311,0))&amp;"")</f>
        <v/>
      </c>
      <c r="B145" s="30" t="str">
        <f aca="false">IF($I145="","",IF(INDEX(Accounts!$R$12:$R$311,MATCH($I145,Accounts!$T$12:$T$311,0))="Check inputs","—",INDEX(Accounts!$B$12:$B$311,MATCH($I145,Accounts!$T$12:$T$311,0))))</f>
        <v/>
      </c>
      <c r="C145" s="30" t="str">
        <f aca="false">IF($I145="","",IF(INDEX(Accounts!$R$12:$R$311,MATCH($I145,Accounts!$T$12:$T$311,0))="Check inputs","—",INDEX(Accounts!$M$12:$M$311,MATCH($I145,Accounts!$T$12:$T$311,0))))</f>
        <v/>
      </c>
      <c r="D145" s="30" t="str">
        <f aca="false">IF($I145="","",IF(INDEX(Accounts!$R$12:$R$311,MATCH($I145,Accounts!$T$12:$T$311,0))="Check inputs","—",INDEX(Accounts!$N$12:$N$311,MATCH($I145,Accounts!$T$12:$T$311,0))))</f>
        <v/>
      </c>
      <c r="E145" s="31" t="str">
        <f aca="false">IF($I145="","",IF(INDEX(Accounts!$R$12:$R$311,MATCH($I145,Accounts!$T$12:$T$311,0))="Check inputs","—",INDEX(Accounts!$O$12:$O$311,MATCH($I145,Accounts!$T$12:$T$311,0))))</f>
        <v/>
      </c>
      <c r="F145" s="30" t="str">
        <f aca="false">IF($I145="","",IF(INDEX(Accounts!$R$12:$R$311,MATCH($I145,Accounts!$T$12:$T$311,0))="Check inputs","—",INDEX(Accounts!$P$12:$P$311,MATCH($I145,Accounts!$T$12:$T$311,0))))</f>
        <v/>
      </c>
      <c r="G145" s="30" t="str">
        <f aca="false">IF($I145="","",IF(INDEX(Accounts!$R$12:$R$311,MATCH($I145,Accounts!$T$12:$T$311,0))="Check inputs","—",INDEX(Accounts!$Q$12:$Q$311,MATCH($I145,Accounts!$T$12:$T$311,0))))</f>
        <v/>
      </c>
      <c r="H145" s="32" t="str">
        <f aca="false">IF($I145="","",IF(INDEX(Accounts!$R$12:$R$311,MATCH($I145,Accounts!$T$12:$T$311,0))="Check inputs","Check inputs: "&amp;INDEX(Accounts!$S$12:$S$311,MATCH($I145,Accounts!$T$12:$T$311,0)),INDEX(Accounts!$R$12:$R$311,MATCH($I145,Accounts!$T$12:$T$311,0))))</f>
        <v/>
      </c>
      <c r="I145" s="33" t="str">
        <f aca="false">IF(137&gt;COUNT(Accounts!$T$12:$T$311),"",SMALL(Accounts!$T$12:$T$311,137))</f>
        <v/>
      </c>
    </row>
    <row r="146" customFormat="false" ht="15" hidden="false" customHeight="false" outlineLevel="0" collapsed="false">
      <c r="A146" s="22" t="str">
        <f aca="false">IF($I146="","",INDEX(Accounts!$A$12:$A$311,MATCH($I146,Accounts!$T$12:$T$311,0))&amp;"")</f>
        <v/>
      </c>
      <c r="B146" s="30" t="str">
        <f aca="false">IF($I146="","",IF(INDEX(Accounts!$R$12:$R$311,MATCH($I146,Accounts!$T$12:$T$311,0))="Check inputs","—",INDEX(Accounts!$B$12:$B$311,MATCH($I146,Accounts!$T$12:$T$311,0))))</f>
        <v/>
      </c>
      <c r="C146" s="30" t="str">
        <f aca="false">IF($I146="","",IF(INDEX(Accounts!$R$12:$R$311,MATCH($I146,Accounts!$T$12:$T$311,0))="Check inputs","—",INDEX(Accounts!$M$12:$M$311,MATCH($I146,Accounts!$T$12:$T$311,0))))</f>
        <v/>
      </c>
      <c r="D146" s="30" t="str">
        <f aca="false">IF($I146="","",IF(INDEX(Accounts!$R$12:$R$311,MATCH($I146,Accounts!$T$12:$T$311,0))="Check inputs","—",INDEX(Accounts!$N$12:$N$311,MATCH($I146,Accounts!$T$12:$T$311,0))))</f>
        <v/>
      </c>
      <c r="E146" s="31" t="str">
        <f aca="false">IF($I146="","",IF(INDEX(Accounts!$R$12:$R$311,MATCH($I146,Accounts!$T$12:$T$311,0))="Check inputs","—",INDEX(Accounts!$O$12:$O$311,MATCH($I146,Accounts!$T$12:$T$311,0))))</f>
        <v/>
      </c>
      <c r="F146" s="30" t="str">
        <f aca="false">IF($I146="","",IF(INDEX(Accounts!$R$12:$R$311,MATCH($I146,Accounts!$T$12:$T$311,0))="Check inputs","—",INDEX(Accounts!$P$12:$P$311,MATCH($I146,Accounts!$T$12:$T$311,0))))</f>
        <v/>
      </c>
      <c r="G146" s="30" t="str">
        <f aca="false">IF($I146="","",IF(INDEX(Accounts!$R$12:$R$311,MATCH($I146,Accounts!$T$12:$T$311,0))="Check inputs","—",INDEX(Accounts!$Q$12:$Q$311,MATCH($I146,Accounts!$T$12:$T$311,0))))</f>
        <v/>
      </c>
      <c r="H146" s="32" t="str">
        <f aca="false">IF($I146="","",IF(INDEX(Accounts!$R$12:$R$311,MATCH($I146,Accounts!$T$12:$T$311,0))="Check inputs","Check inputs: "&amp;INDEX(Accounts!$S$12:$S$311,MATCH($I146,Accounts!$T$12:$T$311,0)),INDEX(Accounts!$R$12:$R$311,MATCH($I146,Accounts!$T$12:$T$311,0))))</f>
        <v/>
      </c>
      <c r="I146" s="33" t="str">
        <f aca="false">IF(138&gt;COUNT(Accounts!$T$12:$T$311),"",SMALL(Accounts!$T$12:$T$311,138))</f>
        <v/>
      </c>
    </row>
    <row r="147" customFormat="false" ht="15" hidden="false" customHeight="false" outlineLevel="0" collapsed="false">
      <c r="A147" s="22" t="str">
        <f aca="false">IF($I147="","",INDEX(Accounts!$A$12:$A$311,MATCH($I147,Accounts!$T$12:$T$311,0))&amp;"")</f>
        <v/>
      </c>
      <c r="B147" s="30" t="str">
        <f aca="false">IF($I147="","",IF(INDEX(Accounts!$R$12:$R$311,MATCH($I147,Accounts!$T$12:$T$311,0))="Check inputs","—",INDEX(Accounts!$B$12:$B$311,MATCH($I147,Accounts!$T$12:$T$311,0))))</f>
        <v/>
      </c>
      <c r="C147" s="30" t="str">
        <f aca="false">IF($I147="","",IF(INDEX(Accounts!$R$12:$R$311,MATCH($I147,Accounts!$T$12:$T$311,0))="Check inputs","—",INDEX(Accounts!$M$12:$M$311,MATCH($I147,Accounts!$T$12:$T$311,0))))</f>
        <v/>
      </c>
      <c r="D147" s="30" t="str">
        <f aca="false">IF($I147="","",IF(INDEX(Accounts!$R$12:$R$311,MATCH($I147,Accounts!$T$12:$T$311,0))="Check inputs","—",INDEX(Accounts!$N$12:$N$311,MATCH($I147,Accounts!$T$12:$T$311,0))))</f>
        <v/>
      </c>
      <c r="E147" s="31" t="str">
        <f aca="false">IF($I147="","",IF(INDEX(Accounts!$R$12:$R$311,MATCH($I147,Accounts!$T$12:$T$311,0))="Check inputs","—",INDEX(Accounts!$O$12:$O$311,MATCH($I147,Accounts!$T$12:$T$311,0))))</f>
        <v/>
      </c>
      <c r="F147" s="30" t="str">
        <f aca="false">IF($I147="","",IF(INDEX(Accounts!$R$12:$R$311,MATCH($I147,Accounts!$T$12:$T$311,0))="Check inputs","—",INDEX(Accounts!$P$12:$P$311,MATCH($I147,Accounts!$T$12:$T$311,0))))</f>
        <v/>
      </c>
      <c r="G147" s="30" t="str">
        <f aca="false">IF($I147="","",IF(INDEX(Accounts!$R$12:$R$311,MATCH($I147,Accounts!$T$12:$T$311,0))="Check inputs","—",INDEX(Accounts!$Q$12:$Q$311,MATCH($I147,Accounts!$T$12:$T$311,0))))</f>
        <v/>
      </c>
      <c r="H147" s="32" t="str">
        <f aca="false">IF($I147="","",IF(INDEX(Accounts!$R$12:$R$311,MATCH($I147,Accounts!$T$12:$T$311,0))="Check inputs","Check inputs: "&amp;INDEX(Accounts!$S$12:$S$311,MATCH($I147,Accounts!$T$12:$T$311,0)),INDEX(Accounts!$R$12:$R$311,MATCH($I147,Accounts!$T$12:$T$311,0))))</f>
        <v/>
      </c>
      <c r="I147" s="33" t="str">
        <f aca="false">IF(139&gt;COUNT(Accounts!$T$12:$T$311),"",SMALL(Accounts!$T$12:$T$311,139))</f>
        <v/>
      </c>
    </row>
    <row r="148" customFormat="false" ht="15" hidden="false" customHeight="false" outlineLevel="0" collapsed="false">
      <c r="A148" s="22" t="str">
        <f aca="false">IF($I148="","",INDEX(Accounts!$A$12:$A$311,MATCH($I148,Accounts!$T$12:$T$311,0))&amp;"")</f>
        <v/>
      </c>
      <c r="B148" s="30" t="str">
        <f aca="false">IF($I148="","",IF(INDEX(Accounts!$R$12:$R$311,MATCH($I148,Accounts!$T$12:$T$311,0))="Check inputs","—",INDEX(Accounts!$B$12:$B$311,MATCH($I148,Accounts!$T$12:$T$311,0))))</f>
        <v/>
      </c>
      <c r="C148" s="30" t="str">
        <f aca="false">IF($I148="","",IF(INDEX(Accounts!$R$12:$R$311,MATCH($I148,Accounts!$T$12:$T$311,0))="Check inputs","—",INDEX(Accounts!$M$12:$M$311,MATCH($I148,Accounts!$T$12:$T$311,0))))</f>
        <v/>
      </c>
      <c r="D148" s="30" t="str">
        <f aca="false">IF($I148="","",IF(INDEX(Accounts!$R$12:$R$311,MATCH($I148,Accounts!$T$12:$T$311,0))="Check inputs","—",INDEX(Accounts!$N$12:$N$311,MATCH($I148,Accounts!$T$12:$T$311,0))))</f>
        <v/>
      </c>
      <c r="E148" s="31" t="str">
        <f aca="false">IF($I148="","",IF(INDEX(Accounts!$R$12:$R$311,MATCH($I148,Accounts!$T$12:$T$311,0))="Check inputs","—",INDEX(Accounts!$O$12:$O$311,MATCH($I148,Accounts!$T$12:$T$311,0))))</f>
        <v/>
      </c>
      <c r="F148" s="30" t="str">
        <f aca="false">IF($I148="","",IF(INDEX(Accounts!$R$12:$R$311,MATCH($I148,Accounts!$T$12:$T$311,0))="Check inputs","—",INDEX(Accounts!$P$12:$P$311,MATCH($I148,Accounts!$T$12:$T$311,0))))</f>
        <v/>
      </c>
      <c r="G148" s="30" t="str">
        <f aca="false">IF($I148="","",IF(INDEX(Accounts!$R$12:$R$311,MATCH($I148,Accounts!$T$12:$T$311,0))="Check inputs","—",INDEX(Accounts!$Q$12:$Q$311,MATCH($I148,Accounts!$T$12:$T$311,0))))</f>
        <v/>
      </c>
      <c r="H148" s="32" t="str">
        <f aca="false">IF($I148="","",IF(INDEX(Accounts!$R$12:$R$311,MATCH($I148,Accounts!$T$12:$T$311,0))="Check inputs","Check inputs: "&amp;INDEX(Accounts!$S$12:$S$311,MATCH($I148,Accounts!$T$12:$T$311,0)),INDEX(Accounts!$R$12:$R$311,MATCH($I148,Accounts!$T$12:$T$311,0))))</f>
        <v/>
      </c>
      <c r="I148" s="33" t="str">
        <f aca="false">IF(140&gt;COUNT(Accounts!$T$12:$T$311),"",SMALL(Accounts!$T$12:$T$311,140))</f>
        <v/>
      </c>
    </row>
    <row r="149" customFormat="false" ht="15" hidden="false" customHeight="false" outlineLevel="0" collapsed="false">
      <c r="A149" s="22" t="str">
        <f aca="false">IF($I149="","",INDEX(Accounts!$A$12:$A$311,MATCH($I149,Accounts!$T$12:$T$311,0))&amp;"")</f>
        <v/>
      </c>
      <c r="B149" s="30" t="str">
        <f aca="false">IF($I149="","",IF(INDEX(Accounts!$R$12:$R$311,MATCH($I149,Accounts!$T$12:$T$311,0))="Check inputs","—",INDEX(Accounts!$B$12:$B$311,MATCH($I149,Accounts!$T$12:$T$311,0))))</f>
        <v/>
      </c>
      <c r="C149" s="30" t="str">
        <f aca="false">IF($I149="","",IF(INDEX(Accounts!$R$12:$R$311,MATCH($I149,Accounts!$T$12:$T$311,0))="Check inputs","—",INDEX(Accounts!$M$12:$M$311,MATCH($I149,Accounts!$T$12:$T$311,0))))</f>
        <v/>
      </c>
      <c r="D149" s="30" t="str">
        <f aca="false">IF($I149="","",IF(INDEX(Accounts!$R$12:$R$311,MATCH($I149,Accounts!$T$12:$T$311,0))="Check inputs","—",INDEX(Accounts!$N$12:$N$311,MATCH($I149,Accounts!$T$12:$T$311,0))))</f>
        <v/>
      </c>
      <c r="E149" s="31" t="str">
        <f aca="false">IF($I149="","",IF(INDEX(Accounts!$R$12:$R$311,MATCH($I149,Accounts!$T$12:$T$311,0))="Check inputs","—",INDEX(Accounts!$O$12:$O$311,MATCH($I149,Accounts!$T$12:$T$311,0))))</f>
        <v/>
      </c>
      <c r="F149" s="30" t="str">
        <f aca="false">IF($I149="","",IF(INDEX(Accounts!$R$12:$R$311,MATCH($I149,Accounts!$T$12:$T$311,0))="Check inputs","—",INDEX(Accounts!$P$12:$P$311,MATCH($I149,Accounts!$T$12:$T$311,0))))</f>
        <v/>
      </c>
      <c r="G149" s="30" t="str">
        <f aca="false">IF($I149="","",IF(INDEX(Accounts!$R$12:$R$311,MATCH($I149,Accounts!$T$12:$T$311,0))="Check inputs","—",INDEX(Accounts!$Q$12:$Q$311,MATCH($I149,Accounts!$T$12:$T$311,0))))</f>
        <v/>
      </c>
      <c r="H149" s="32" t="str">
        <f aca="false">IF($I149="","",IF(INDEX(Accounts!$R$12:$R$311,MATCH($I149,Accounts!$T$12:$T$311,0))="Check inputs","Check inputs: "&amp;INDEX(Accounts!$S$12:$S$311,MATCH($I149,Accounts!$T$12:$T$311,0)),INDEX(Accounts!$R$12:$R$311,MATCH($I149,Accounts!$T$12:$T$311,0))))</f>
        <v/>
      </c>
      <c r="I149" s="33" t="str">
        <f aca="false">IF(141&gt;COUNT(Accounts!$T$12:$T$311),"",SMALL(Accounts!$T$12:$T$311,141))</f>
        <v/>
      </c>
    </row>
    <row r="150" customFormat="false" ht="15" hidden="false" customHeight="false" outlineLevel="0" collapsed="false">
      <c r="A150" s="22" t="str">
        <f aca="false">IF($I150="","",INDEX(Accounts!$A$12:$A$311,MATCH($I150,Accounts!$T$12:$T$311,0))&amp;"")</f>
        <v/>
      </c>
      <c r="B150" s="30" t="str">
        <f aca="false">IF($I150="","",IF(INDEX(Accounts!$R$12:$R$311,MATCH($I150,Accounts!$T$12:$T$311,0))="Check inputs","—",INDEX(Accounts!$B$12:$B$311,MATCH($I150,Accounts!$T$12:$T$311,0))))</f>
        <v/>
      </c>
      <c r="C150" s="30" t="str">
        <f aca="false">IF($I150="","",IF(INDEX(Accounts!$R$12:$R$311,MATCH($I150,Accounts!$T$12:$T$311,0))="Check inputs","—",INDEX(Accounts!$M$12:$M$311,MATCH($I150,Accounts!$T$12:$T$311,0))))</f>
        <v/>
      </c>
      <c r="D150" s="30" t="str">
        <f aca="false">IF($I150="","",IF(INDEX(Accounts!$R$12:$R$311,MATCH($I150,Accounts!$T$12:$T$311,0))="Check inputs","—",INDEX(Accounts!$N$12:$N$311,MATCH($I150,Accounts!$T$12:$T$311,0))))</f>
        <v/>
      </c>
      <c r="E150" s="31" t="str">
        <f aca="false">IF($I150="","",IF(INDEX(Accounts!$R$12:$R$311,MATCH($I150,Accounts!$T$12:$T$311,0))="Check inputs","—",INDEX(Accounts!$O$12:$O$311,MATCH($I150,Accounts!$T$12:$T$311,0))))</f>
        <v/>
      </c>
      <c r="F150" s="30" t="str">
        <f aca="false">IF($I150="","",IF(INDEX(Accounts!$R$12:$R$311,MATCH($I150,Accounts!$T$12:$T$311,0))="Check inputs","—",INDEX(Accounts!$P$12:$P$311,MATCH($I150,Accounts!$T$12:$T$311,0))))</f>
        <v/>
      </c>
      <c r="G150" s="30" t="str">
        <f aca="false">IF($I150="","",IF(INDEX(Accounts!$R$12:$R$311,MATCH($I150,Accounts!$T$12:$T$311,0))="Check inputs","—",INDEX(Accounts!$Q$12:$Q$311,MATCH($I150,Accounts!$T$12:$T$311,0))))</f>
        <v/>
      </c>
      <c r="H150" s="32" t="str">
        <f aca="false">IF($I150="","",IF(INDEX(Accounts!$R$12:$R$311,MATCH($I150,Accounts!$T$12:$T$311,0))="Check inputs","Check inputs: "&amp;INDEX(Accounts!$S$12:$S$311,MATCH($I150,Accounts!$T$12:$T$311,0)),INDEX(Accounts!$R$12:$R$311,MATCH($I150,Accounts!$T$12:$T$311,0))))</f>
        <v/>
      </c>
      <c r="I150" s="33" t="str">
        <f aca="false">IF(142&gt;COUNT(Accounts!$T$12:$T$311),"",SMALL(Accounts!$T$12:$T$311,142))</f>
        <v/>
      </c>
    </row>
    <row r="151" customFormat="false" ht="15" hidden="false" customHeight="false" outlineLevel="0" collapsed="false">
      <c r="A151" s="22" t="str">
        <f aca="false">IF($I151="","",INDEX(Accounts!$A$12:$A$311,MATCH($I151,Accounts!$T$12:$T$311,0))&amp;"")</f>
        <v/>
      </c>
      <c r="B151" s="30" t="str">
        <f aca="false">IF($I151="","",IF(INDEX(Accounts!$R$12:$R$311,MATCH($I151,Accounts!$T$12:$T$311,0))="Check inputs","—",INDEX(Accounts!$B$12:$B$311,MATCH($I151,Accounts!$T$12:$T$311,0))))</f>
        <v/>
      </c>
      <c r="C151" s="30" t="str">
        <f aca="false">IF($I151="","",IF(INDEX(Accounts!$R$12:$R$311,MATCH($I151,Accounts!$T$12:$T$311,0))="Check inputs","—",INDEX(Accounts!$M$12:$M$311,MATCH($I151,Accounts!$T$12:$T$311,0))))</f>
        <v/>
      </c>
      <c r="D151" s="30" t="str">
        <f aca="false">IF($I151="","",IF(INDEX(Accounts!$R$12:$R$311,MATCH($I151,Accounts!$T$12:$T$311,0))="Check inputs","—",INDEX(Accounts!$N$12:$N$311,MATCH($I151,Accounts!$T$12:$T$311,0))))</f>
        <v/>
      </c>
      <c r="E151" s="31" t="str">
        <f aca="false">IF($I151="","",IF(INDEX(Accounts!$R$12:$R$311,MATCH($I151,Accounts!$T$12:$T$311,0))="Check inputs","—",INDEX(Accounts!$O$12:$O$311,MATCH($I151,Accounts!$T$12:$T$311,0))))</f>
        <v/>
      </c>
      <c r="F151" s="30" t="str">
        <f aca="false">IF($I151="","",IF(INDEX(Accounts!$R$12:$R$311,MATCH($I151,Accounts!$T$12:$T$311,0))="Check inputs","—",INDEX(Accounts!$P$12:$P$311,MATCH($I151,Accounts!$T$12:$T$311,0))))</f>
        <v/>
      </c>
      <c r="G151" s="30" t="str">
        <f aca="false">IF($I151="","",IF(INDEX(Accounts!$R$12:$R$311,MATCH($I151,Accounts!$T$12:$T$311,0))="Check inputs","—",INDEX(Accounts!$Q$12:$Q$311,MATCH($I151,Accounts!$T$12:$T$311,0))))</f>
        <v/>
      </c>
      <c r="H151" s="32" t="str">
        <f aca="false">IF($I151="","",IF(INDEX(Accounts!$R$12:$R$311,MATCH($I151,Accounts!$T$12:$T$311,0))="Check inputs","Check inputs: "&amp;INDEX(Accounts!$S$12:$S$311,MATCH($I151,Accounts!$T$12:$T$311,0)),INDEX(Accounts!$R$12:$R$311,MATCH($I151,Accounts!$T$12:$T$311,0))))</f>
        <v/>
      </c>
      <c r="I151" s="33" t="str">
        <f aca="false">IF(143&gt;COUNT(Accounts!$T$12:$T$311),"",SMALL(Accounts!$T$12:$T$311,143))</f>
        <v/>
      </c>
    </row>
    <row r="152" customFormat="false" ht="15" hidden="false" customHeight="false" outlineLevel="0" collapsed="false">
      <c r="A152" s="22" t="str">
        <f aca="false">IF($I152="","",INDEX(Accounts!$A$12:$A$311,MATCH($I152,Accounts!$T$12:$T$311,0))&amp;"")</f>
        <v/>
      </c>
      <c r="B152" s="30" t="str">
        <f aca="false">IF($I152="","",IF(INDEX(Accounts!$R$12:$R$311,MATCH($I152,Accounts!$T$12:$T$311,0))="Check inputs","—",INDEX(Accounts!$B$12:$B$311,MATCH($I152,Accounts!$T$12:$T$311,0))))</f>
        <v/>
      </c>
      <c r="C152" s="30" t="str">
        <f aca="false">IF($I152="","",IF(INDEX(Accounts!$R$12:$R$311,MATCH($I152,Accounts!$T$12:$T$311,0))="Check inputs","—",INDEX(Accounts!$M$12:$M$311,MATCH($I152,Accounts!$T$12:$T$311,0))))</f>
        <v/>
      </c>
      <c r="D152" s="30" t="str">
        <f aca="false">IF($I152="","",IF(INDEX(Accounts!$R$12:$R$311,MATCH($I152,Accounts!$T$12:$T$311,0))="Check inputs","—",INDEX(Accounts!$N$12:$N$311,MATCH($I152,Accounts!$T$12:$T$311,0))))</f>
        <v/>
      </c>
      <c r="E152" s="31" t="str">
        <f aca="false">IF($I152="","",IF(INDEX(Accounts!$R$12:$R$311,MATCH($I152,Accounts!$T$12:$T$311,0))="Check inputs","—",INDEX(Accounts!$O$12:$O$311,MATCH($I152,Accounts!$T$12:$T$311,0))))</f>
        <v/>
      </c>
      <c r="F152" s="30" t="str">
        <f aca="false">IF($I152="","",IF(INDEX(Accounts!$R$12:$R$311,MATCH($I152,Accounts!$T$12:$T$311,0))="Check inputs","—",INDEX(Accounts!$P$12:$P$311,MATCH($I152,Accounts!$T$12:$T$311,0))))</f>
        <v/>
      </c>
      <c r="G152" s="30" t="str">
        <f aca="false">IF($I152="","",IF(INDEX(Accounts!$R$12:$R$311,MATCH($I152,Accounts!$T$12:$T$311,0))="Check inputs","—",INDEX(Accounts!$Q$12:$Q$311,MATCH($I152,Accounts!$T$12:$T$311,0))))</f>
        <v/>
      </c>
      <c r="H152" s="32" t="str">
        <f aca="false">IF($I152="","",IF(INDEX(Accounts!$R$12:$R$311,MATCH($I152,Accounts!$T$12:$T$311,0))="Check inputs","Check inputs: "&amp;INDEX(Accounts!$S$12:$S$311,MATCH($I152,Accounts!$T$12:$T$311,0)),INDEX(Accounts!$R$12:$R$311,MATCH($I152,Accounts!$T$12:$T$311,0))))</f>
        <v/>
      </c>
      <c r="I152" s="33" t="str">
        <f aca="false">IF(144&gt;COUNT(Accounts!$T$12:$T$311),"",SMALL(Accounts!$T$12:$T$311,144))</f>
        <v/>
      </c>
    </row>
    <row r="153" customFormat="false" ht="15" hidden="false" customHeight="false" outlineLevel="0" collapsed="false">
      <c r="A153" s="22" t="str">
        <f aca="false">IF($I153="","",INDEX(Accounts!$A$12:$A$311,MATCH($I153,Accounts!$T$12:$T$311,0))&amp;"")</f>
        <v/>
      </c>
      <c r="B153" s="30" t="str">
        <f aca="false">IF($I153="","",IF(INDEX(Accounts!$R$12:$R$311,MATCH($I153,Accounts!$T$12:$T$311,0))="Check inputs","—",INDEX(Accounts!$B$12:$B$311,MATCH($I153,Accounts!$T$12:$T$311,0))))</f>
        <v/>
      </c>
      <c r="C153" s="30" t="str">
        <f aca="false">IF($I153="","",IF(INDEX(Accounts!$R$12:$R$311,MATCH($I153,Accounts!$T$12:$T$311,0))="Check inputs","—",INDEX(Accounts!$M$12:$M$311,MATCH($I153,Accounts!$T$12:$T$311,0))))</f>
        <v/>
      </c>
      <c r="D153" s="30" t="str">
        <f aca="false">IF($I153="","",IF(INDEX(Accounts!$R$12:$R$311,MATCH($I153,Accounts!$T$12:$T$311,0))="Check inputs","—",INDEX(Accounts!$N$12:$N$311,MATCH($I153,Accounts!$T$12:$T$311,0))))</f>
        <v/>
      </c>
      <c r="E153" s="31" t="str">
        <f aca="false">IF($I153="","",IF(INDEX(Accounts!$R$12:$R$311,MATCH($I153,Accounts!$T$12:$T$311,0))="Check inputs","—",INDEX(Accounts!$O$12:$O$311,MATCH($I153,Accounts!$T$12:$T$311,0))))</f>
        <v/>
      </c>
      <c r="F153" s="30" t="str">
        <f aca="false">IF($I153="","",IF(INDEX(Accounts!$R$12:$R$311,MATCH($I153,Accounts!$T$12:$T$311,0))="Check inputs","—",INDEX(Accounts!$P$12:$P$311,MATCH($I153,Accounts!$T$12:$T$311,0))))</f>
        <v/>
      </c>
      <c r="G153" s="30" t="str">
        <f aca="false">IF($I153="","",IF(INDEX(Accounts!$R$12:$R$311,MATCH($I153,Accounts!$T$12:$T$311,0))="Check inputs","—",INDEX(Accounts!$Q$12:$Q$311,MATCH($I153,Accounts!$T$12:$T$311,0))))</f>
        <v/>
      </c>
      <c r="H153" s="32" t="str">
        <f aca="false">IF($I153="","",IF(INDEX(Accounts!$R$12:$R$311,MATCH($I153,Accounts!$T$12:$T$311,0))="Check inputs","Check inputs: "&amp;INDEX(Accounts!$S$12:$S$311,MATCH($I153,Accounts!$T$12:$T$311,0)),INDEX(Accounts!$R$12:$R$311,MATCH($I153,Accounts!$T$12:$T$311,0))))</f>
        <v/>
      </c>
      <c r="I153" s="33" t="str">
        <f aca="false">IF(145&gt;COUNT(Accounts!$T$12:$T$311),"",SMALL(Accounts!$T$12:$T$311,145))</f>
        <v/>
      </c>
    </row>
    <row r="154" customFormat="false" ht="15" hidden="false" customHeight="false" outlineLevel="0" collapsed="false">
      <c r="A154" s="22" t="str">
        <f aca="false">IF($I154="","",INDEX(Accounts!$A$12:$A$311,MATCH($I154,Accounts!$T$12:$T$311,0))&amp;"")</f>
        <v/>
      </c>
      <c r="B154" s="30" t="str">
        <f aca="false">IF($I154="","",IF(INDEX(Accounts!$R$12:$R$311,MATCH($I154,Accounts!$T$12:$T$311,0))="Check inputs","—",INDEX(Accounts!$B$12:$B$311,MATCH($I154,Accounts!$T$12:$T$311,0))))</f>
        <v/>
      </c>
      <c r="C154" s="30" t="str">
        <f aca="false">IF($I154="","",IF(INDEX(Accounts!$R$12:$R$311,MATCH($I154,Accounts!$T$12:$T$311,0))="Check inputs","—",INDEX(Accounts!$M$12:$M$311,MATCH($I154,Accounts!$T$12:$T$311,0))))</f>
        <v/>
      </c>
      <c r="D154" s="30" t="str">
        <f aca="false">IF($I154="","",IF(INDEX(Accounts!$R$12:$R$311,MATCH($I154,Accounts!$T$12:$T$311,0))="Check inputs","—",INDEX(Accounts!$N$12:$N$311,MATCH($I154,Accounts!$T$12:$T$311,0))))</f>
        <v/>
      </c>
      <c r="E154" s="31" t="str">
        <f aca="false">IF($I154="","",IF(INDEX(Accounts!$R$12:$R$311,MATCH($I154,Accounts!$T$12:$T$311,0))="Check inputs","—",INDEX(Accounts!$O$12:$O$311,MATCH($I154,Accounts!$T$12:$T$311,0))))</f>
        <v/>
      </c>
      <c r="F154" s="30" t="str">
        <f aca="false">IF($I154="","",IF(INDEX(Accounts!$R$12:$R$311,MATCH($I154,Accounts!$T$12:$T$311,0))="Check inputs","—",INDEX(Accounts!$P$12:$P$311,MATCH($I154,Accounts!$T$12:$T$311,0))))</f>
        <v/>
      </c>
      <c r="G154" s="30" t="str">
        <f aca="false">IF($I154="","",IF(INDEX(Accounts!$R$12:$R$311,MATCH($I154,Accounts!$T$12:$T$311,0))="Check inputs","—",INDEX(Accounts!$Q$12:$Q$311,MATCH($I154,Accounts!$T$12:$T$311,0))))</f>
        <v/>
      </c>
      <c r="H154" s="32" t="str">
        <f aca="false">IF($I154="","",IF(INDEX(Accounts!$R$12:$R$311,MATCH($I154,Accounts!$T$12:$T$311,0))="Check inputs","Check inputs: "&amp;INDEX(Accounts!$S$12:$S$311,MATCH($I154,Accounts!$T$12:$T$311,0)),INDEX(Accounts!$R$12:$R$311,MATCH($I154,Accounts!$T$12:$T$311,0))))</f>
        <v/>
      </c>
      <c r="I154" s="33" t="str">
        <f aca="false">IF(146&gt;COUNT(Accounts!$T$12:$T$311),"",SMALL(Accounts!$T$12:$T$311,146))</f>
        <v/>
      </c>
    </row>
    <row r="155" customFormat="false" ht="15" hidden="false" customHeight="false" outlineLevel="0" collapsed="false">
      <c r="A155" s="22" t="str">
        <f aca="false">IF($I155="","",INDEX(Accounts!$A$12:$A$311,MATCH($I155,Accounts!$T$12:$T$311,0))&amp;"")</f>
        <v/>
      </c>
      <c r="B155" s="30" t="str">
        <f aca="false">IF($I155="","",IF(INDEX(Accounts!$R$12:$R$311,MATCH($I155,Accounts!$T$12:$T$311,0))="Check inputs","—",INDEX(Accounts!$B$12:$B$311,MATCH($I155,Accounts!$T$12:$T$311,0))))</f>
        <v/>
      </c>
      <c r="C155" s="30" t="str">
        <f aca="false">IF($I155="","",IF(INDEX(Accounts!$R$12:$R$311,MATCH($I155,Accounts!$T$12:$T$311,0))="Check inputs","—",INDEX(Accounts!$M$12:$M$311,MATCH($I155,Accounts!$T$12:$T$311,0))))</f>
        <v/>
      </c>
      <c r="D155" s="30" t="str">
        <f aca="false">IF($I155="","",IF(INDEX(Accounts!$R$12:$R$311,MATCH($I155,Accounts!$T$12:$T$311,0))="Check inputs","—",INDEX(Accounts!$N$12:$N$311,MATCH($I155,Accounts!$T$12:$T$311,0))))</f>
        <v/>
      </c>
      <c r="E155" s="31" t="str">
        <f aca="false">IF($I155="","",IF(INDEX(Accounts!$R$12:$R$311,MATCH($I155,Accounts!$T$12:$T$311,0))="Check inputs","—",INDEX(Accounts!$O$12:$O$311,MATCH($I155,Accounts!$T$12:$T$311,0))))</f>
        <v/>
      </c>
      <c r="F155" s="30" t="str">
        <f aca="false">IF($I155="","",IF(INDEX(Accounts!$R$12:$R$311,MATCH($I155,Accounts!$T$12:$T$311,0))="Check inputs","—",INDEX(Accounts!$P$12:$P$311,MATCH($I155,Accounts!$T$12:$T$311,0))))</f>
        <v/>
      </c>
      <c r="G155" s="30" t="str">
        <f aca="false">IF($I155="","",IF(INDEX(Accounts!$R$12:$R$311,MATCH($I155,Accounts!$T$12:$T$311,0))="Check inputs","—",INDEX(Accounts!$Q$12:$Q$311,MATCH($I155,Accounts!$T$12:$T$311,0))))</f>
        <v/>
      </c>
      <c r="H155" s="32" t="str">
        <f aca="false">IF($I155="","",IF(INDEX(Accounts!$R$12:$R$311,MATCH($I155,Accounts!$T$12:$T$311,0))="Check inputs","Check inputs: "&amp;INDEX(Accounts!$S$12:$S$311,MATCH($I155,Accounts!$T$12:$T$311,0)),INDEX(Accounts!$R$12:$R$311,MATCH($I155,Accounts!$T$12:$T$311,0))))</f>
        <v/>
      </c>
      <c r="I155" s="33" t="str">
        <f aca="false">IF(147&gt;COUNT(Accounts!$T$12:$T$311),"",SMALL(Accounts!$T$12:$T$311,147))</f>
        <v/>
      </c>
    </row>
    <row r="156" customFormat="false" ht="15" hidden="false" customHeight="false" outlineLevel="0" collapsed="false">
      <c r="A156" s="22" t="str">
        <f aca="false">IF($I156="","",INDEX(Accounts!$A$12:$A$311,MATCH($I156,Accounts!$T$12:$T$311,0))&amp;"")</f>
        <v/>
      </c>
      <c r="B156" s="30" t="str">
        <f aca="false">IF($I156="","",IF(INDEX(Accounts!$R$12:$R$311,MATCH($I156,Accounts!$T$12:$T$311,0))="Check inputs","—",INDEX(Accounts!$B$12:$B$311,MATCH($I156,Accounts!$T$12:$T$311,0))))</f>
        <v/>
      </c>
      <c r="C156" s="30" t="str">
        <f aca="false">IF($I156="","",IF(INDEX(Accounts!$R$12:$R$311,MATCH($I156,Accounts!$T$12:$T$311,0))="Check inputs","—",INDEX(Accounts!$M$12:$M$311,MATCH($I156,Accounts!$T$12:$T$311,0))))</f>
        <v/>
      </c>
      <c r="D156" s="30" t="str">
        <f aca="false">IF($I156="","",IF(INDEX(Accounts!$R$12:$R$311,MATCH($I156,Accounts!$T$12:$T$311,0))="Check inputs","—",INDEX(Accounts!$N$12:$N$311,MATCH($I156,Accounts!$T$12:$T$311,0))))</f>
        <v/>
      </c>
      <c r="E156" s="31" t="str">
        <f aca="false">IF($I156="","",IF(INDEX(Accounts!$R$12:$R$311,MATCH($I156,Accounts!$T$12:$T$311,0))="Check inputs","—",INDEX(Accounts!$O$12:$O$311,MATCH($I156,Accounts!$T$12:$T$311,0))))</f>
        <v/>
      </c>
      <c r="F156" s="30" t="str">
        <f aca="false">IF($I156="","",IF(INDEX(Accounts!$R$12:$R$311,MATCH($I156,Accounts!$T$12:$T$311,0))="Check inputs","—",INDEX(Accounts!$P$12:$P$311,MATCH($I156,Accounts!$T$12:$T$311,0))))</f>
        <v/>
      </c>
      <c r="G156" s="30" t="str">
        <f aca="false">IF($I156="","",IF(INDEX(Accounts!$R$12:$R$311,MATCH($I156,Accounts!$T$12:$T$311,0))="Check inputs","—",INDEX(Accounts!$Q$12:$Q$311,MATCH($I156,Accounts!$T$12:$T$311,0))))</f>
        <v/>
      </c>
      <c r="H156" s="32" t="str">
        <f aca="false">IF($I156="","",IF(INDEX(Accounts!$R$12:$R$311,MATCH($I156,Accounts!$T$12:$T$311,0))="Check inputs","Check inputs: "&amp;INDEX(Accounts!$S$12:$S$311,MATCH($I156,Accounts!$T$12:$T$311,0)),INDEX(Accounts!$R$12:$R$311,MATCH($I156,Accounts!$T$12:$T$311,0))))</f>
        <v/>
      </c>
      <c r="I156" s="33" t="str">
        <f aca="false">IF(148&gt;COUNT(Accounts!$T$12:$T$311),"",SMALL(Accounts!$T$12:$T$311,148))</f>
        <v/>
      </c>
    </row>
    <row r="157" customFormat="false" ht="15" hidden="false" customHeight="false" outlineLevel="0" collapsed="false">
      <c r="A157" s="22" t="str">
        <f aca="false">IF($I157="","",INDEX(Accounts!$A$12:$A$311,MATCH($I157,Accounts!$T$12:$T$311,0))&amp;"")</f>
        <v/>
      </c>
      <c r="B157" s="30" t="str">
        <f aca="false">IF($I157="","",IF(INDEX(Accounts!$R$12:$R$311,MATCH($I157,Accounts!$T$12:$T$311,0))="Check inputs","—",INDEX(Accounts!$B$12:$B$311,MATCH($I157,Accounts!$T$12:$T$311,0))))</f>
        <v/>
      </c>
      <c r="C157" s="30" t="str">
        <f aca="false">IF($I157="","",IF(INDEX(Accounts!$R$12:$R$311,MATCH($I157,Accounts!$T$12:$T$311,0))="Check inputs","—",INDEX(Accounts!$M$12:$M$311,MATCH($I157,Accounts!$T$12:$T$311,0))))</f>
        <v/>
      </c>
      <c r="D157" s="30" t="str">
        <f aca="false">IF($I157="","",IF(INDEX(Accounts!$R$12:$R$311,MATCH($I157,Accounts!$T$12:$T$311,0))="Check inputs","—",INDEX(Accounts!$N$12:$N$311,MATCH($I157,Accounts!$T$12:$T$311,0))))</f>
        <v/>
      </c>
      <c r="E157" s="31" t="str">
        <f aca="false">IF($I157="","",IF(INDEX(Accounts!$R$12:$R$311,MATCH($I157,Accounts!$T$12:$T$311,0))="Check inputs","—",INDEX(Accounts!$O$12:$O$311,MATCH($I157,Accounts!$T$12:$T$311,0))))</f>
        <v/>
      </c>
      <c r="F157" s="30" t="str">
        <f aca="false">IF($I157="","",IF(INDEX(Accounts!$R$12:$R$311,MATCH($I157,Accounts!$T$12:$T$311,0))="Check inputs","—",INDEX(Accounts!$P$12:$P$311,MATCH($I157,Accounts!$T$12:$T$311,0))))</f>
        <v/>
      </c>
      <c r="G157" s="30" t="str">
        <f aca="false">IF($I157="","",IF(INDEX(Accounts!$R$12:$R$311,MATCH($I157,Accounts!$T$12:$T$311,0))="Check inputs","—",INDEX(Accounts!$Q$12:$Q$311,MATCH($I157,Accounts!$T$12:$T$311,0))))</f>
        <v/>
      </c>
      <c r="H157" s="32" t="str">
        <f aca="false">IF($I157="","",IF(INDEX(Accounts!$R$12:$R$311,MATCH($I157,Accounts!$T$12:$T$311,0))="Check inputs","Check inputs: "&amp;INDEX(Accounts!$S$12:$S$311,MATCH($I157,Accounts!$T$12:$T$311,0)),INDEX(Accounts!$R$12:$R$311,MATCH($I157,Accounts!$T$12:$T$311,0))))</f>
        <v/>
      </c>
      <c r="I157" s="33" t="str">
        <f aca="false">IF(149&gt;COUNT(Accounts!$T$12:$T$311),"",SMALL(Accounts!$T$12:$T$311,149))</f>
        <v/>
      </c>
    </row>
    <row r="158" customFormat="false" ht="15" hidden="false" customHeight="false" outlineLevel="0" collapsed="false">
      <c r="A158" s="22" t="str">
        <f aca="false">IF($I158="","",INDEX(Accounts!$A$12:$A$311,MATCH($I158,Accounts!$T$12:$T$311,0))&amp;"")</f>
        <v/>
      </c>
      <c r="B158" s="30" t="str">
        <f aca="false">IF($I158="","",IF(INDEX(Accounts!$R$12:$R$311,MATCH($I158,Accounts!$T$12:$T$311,0))="Check inputs","—",INDEX(Accounts!$B$12:$B$311,MATCH($I158,Accounts!$T$12:$T$311,0))))</f>
        <v/>
      </c>
      <c r="C158" s="30" t="str">
        <f aca="false">IF($I158="","",IF(INDEX(Accounts!$R$12:$R$311,MATCH($I158,Accounts!$T$12:$T$311,0))="Check inputs","—",INDEX(Accounts!$M$12:$M$311,MATCH($I158,Accounts!$T$12:$T$311,0))))</f>
        <v/>
      </c>
      <c r="D158" s="30" t="str">
        <f aca="false">IF($I158="","",IF(INDEX(Accounts!$R$12:$R$311,MATCH($I158,Accounts!$T$12:$T$311,0))="Check inputs","—",INDEX(Accounts!$N$12:$N$311,MATCH($I158,Accounts!$T$12:$T$311,0))))</f>
        <v/>
      </c>
      <c r="E158" s="31" t="str">
        <f aca="false">IF($I158="","",IF(INDEX(Accounts!$R$12:$R$311,MATCH($I158,Accounts!$T$12:$T$311,0))="Check inputs","—",INDEX(Accounts!$O$12:$O$311,MATCH($I158,Accounts!$T$12:$T$311,0))))</f>
        <v/>
      </c>
      <c r="F158" s="30" t="str">
        <f aca="false">IF($I158="","",IF(INDEX(Accounts!$R$12:$R$311,MATCH($I158,Accounts!$T$12:$T$311,0))="Check inputs","—",INDEX(Accounts!$P$12:$P$311,MATCH($I158,Accounts!$T$12:$T$311,0))))</f>
        <v/>
      </c>
      <c r="G158" s="30" t="str">
        <f aca="false">IF($I158="","",IF(INDEX(Accounts!$R$12:$R$311,MATCH($I158,Accounts!$T$12:$T$311,0))="Check inputs","—",INDEX(Accounts!$Q$12:$Q$311,MATCH($I158,Accounts!$T$12:$T$311,0))))</f>
        <v/>
      </c>
      <c r="H158" s="32" t="str">
        <f aca="false">IF($I158="","",IF(INDEX(Accounts!$R$12:$R$311,MATCH($I158,Accounts!$T$12:$T$311,0))="Check inputs","Check inputs: "&amp;INDEX(Accounts!$S$12:$S$311,MATCH($I158,Accounts!$T$12:$T$311,0)),INDEX(Accounts!$R$12:$R$311,MATCH($I158,Accounts!$T$12:$T$311,0))))</f>
        <v/>
      </c>
      <c r="I158" s="33" t="str">
        <f aca="false">IF(150&gt;COUNT(Accounts!$T$12:$T$311),"",SMALL(Accounts!$T$12:$T$311,150))</f>
        <v/>
      </c>
    </row>
    <row r="159" customFormat="false" ht="15" hidden="false" customHeight="false" outlineLevel="0" collapsed="false">
      <c r="A159" s="22" t="str">
        <f aca="false">IF($I159="","",INDEX(Accounts!$A$12:$A$311,MATCH($I159,Accounts!$T$12:$T$311,0))&amp;"")</f>
        <v/>
      </c>
      <c r="B159" s="30" t="str">
        <f aca="false">IF($I159="","",IF(INDEX(Accounts!$R$12:$R$311,MATCH($I159,Accounts!$T$12:$T$311,0))="Check inputs","—",INDEX(Accounts!$B$12:$B$311,MATCH($I159,Accounts!$T$12:$T$311,0))))</f>
        <v/>
      </c>
      <c r="C159" s="30" t="str">
        <f aca="false">IF($I159="","",IF(INDEX(Accounts!$R$12:$R$311,MATCH($I159,Accounts!$T$12:$T$311,0))="Check inputs","—",INDEX(Accounts!$M$12:$M$311,MATCH($I159,Accounts!$T$12:$T$311,0))))</f>
        <v/>
      </c>
      <c r="D159" s="30" t="str">
        <f aca="false">IF($I159="","",IF(INDEX(Accounts!$R$12:$R$311,MATCH($I159,Accounts!$T$12:$T$311,0))="Check inputs","—",INDEX(Accounts!$N$12:$N$311,MATCH($I159,Accounts!$T$12:$T$311,0))))</f>
        <v/>
      </c>
      <c r="E159" s="31" t="str">
        <f aca="false">IF($I159="","",IF(INDEX(Accounts!$R$12:$R$311,MATCH($I159,Accounts!$T$12:$T$311,0))="Check inputs","—",INDEX(Accounts!$O$12:$O$311,MATCH($I159,Accounts!$T$12:$T$311,0))))</f>
        <v/>
      </c>
      <c r="F159" s="30" t="str">
        <f aca="false">IF($I159="","",IF(INDEX(Accounts!$R$12:$R$311,MATCH($I159,Accounts!$T$12:$T$311,0))="Check inputs","—",INDEX(Accounts!$P$12:$P$311,MATCH($I159,Accounts!$T$12:$T$311,0))))</f>
        <v/>
      </c>
      <c r="G159" s="30" t="str">
        <f aca="false">IF($I159="","",IF(INDEX(Accounts!$R$12:$R$311,MATCH($I159,Accounts!$T$12:$T$311,0))="Check inputs","—",INDEX(Accounts!$Q$12:$Q$311,MATCH($I159,Accounts!$T$12:$T$311,0))))</f>
        <v/>
      </c>
      <c r="H159" s="32" t="str">
        <f aca="false">IF($I159="","",IF(INDEX(Accounts!$R$12:$R$311,MATCH($I159,Accounts!$T$12:$T$311,0))="Check inputs","Check inputs: "&amp;INDEX(Accounts!$S$12:$S$311,MATCH($I159,Accounts!$T$12:$T$311,0)),INDEX(Accounts!$R$12:$R$311,MATCH($I159,Accounts!$T$12:$T$311,0))))</f>
        <v/>
      </c>
      <c r="I159" s="33" t="str">
        <f aca="false">IF(151&gt;COUNT(Accounts!$T$12:$T$311),"",SMALL(Accounts!$T$12:$T$311,151))</f>
        <v/>
      </c>
    </row>
    <row r="160" customFormat="false" ht="15" hidden="false" customHeight="false" outlineLevel="0" collapsed="false">
      <c r="A160" s="22" t="str">
        <f aca="false">IF($I160="","",INDEX(Accounts!$A$12:$A$311,MATCH($I160,Accounts!$T$12:$T$311,0))&amp;"")</f>
        <v/>
      </c>
      <c r="B160" s="30" t="str">
        <f aca="false">IF($I160="","",IF(INDEX(Accounts!$R$12:$R$311,MATCH($I160,Accounts!$T$12:$T$311,0))="Check inputs","—",INDEX(Accounts!$B$12:$B$311,MATCH($I160,Accounts!$T$12:$T$311,0))))</f>
        <v/>
      </c>
      <c r="C160" s="30" t="str">
        <f aca="false">IF($I160="","",IF(INDEX(Accounts!$R$12:$R$311,MATCH($I160,Accounts!$T$12:$T$311,0))="Check inputs","—",INDEX(Accounts!$M$12:$M$311,MATCH($I160,Accounts!$T$12:$T$311,0))))</f>
        <v/>
      </c>
      <c r="D160" s="30" t="str">
        <f aca="false">IF($I160="","",IF(INDEX(Accounts!$R$12:$R$311,MATCH($I160,Accounts!$T$12:$T$311,0))="Check inputs","—",INDEX(Accounts!$N$12:$N$311,MATCH($I160,Accounts!$T$12:$T$311,0))))</f>
        <v/>
      </c>
      <c r="E160" s="31" t="str">
        <f aca="false">IF($I160="","",IF(INDEX(Accounts!$R$12:$R$311,MATCH($I160,Accounts!$T$12:$T$311,0))="Check inputs","—",INDEX(Accounts!$O$12:$O$311,MATCH($I160,Accounts!$T$12:$T$311,0))))</f>
        <v/>
      </c>
      <c r="F160" s="30" t="str">
        <f aca="false">IF($I160="","",IF(INDEX(Accounts!$R$12:$R$311,MATCH($I160,Accounts!$T$12:$T$311,0))="Check inputs","—",INDEX(Accounts!$P$12:$P$311,MATCH($I160,Accounts!$T$12:$T$311,0))))</f>
        <v/>
      </c>
      <c r="G160" s="30" t="str">
        <f aca="false">IF($I160="","",IF(INDEX(Accounts!$R$12:$R$311,MATCH($I160,Accounts!$T$12:$T$311,0))="Check inputs","—",INDEX(Accounts!$Q$12:$Q$311,MATCH($I160,Accounts!$T$12:$T$311,0))))</f>
        <v/>
      </c>
      <c r="H160" s="32" t="str">
        <f aca="false">IF($I160="","",IF(INDEX(Accounts!$R$12:$R$311,MATCH($I160,Accounts!$T$12:$T$311,0))="Check inputs","Check inputs: "&amp;INDEX(Accounts!$S$12:$S$311,MATCH($I160,Accounts!$T$12:$T$311,0)),INDEX(Accounts!$R$12:$R$311,MATCH($I160,Accounts!$T$12:$T$311,0))))</f>
        <v/>
      </c>
      <c r="I160" s="33" t="str">
        <f aca="false">IF(152&gt;COUNT(Accounts!$T$12:$T$311),"",SMALL(Accounts!$T$12:$T$311,152))</f>
        <v/>
      </c>
    </row>
    <row r="161" customFormat="false" ht="15" hidden="false" customHeight="false" outlineLevel="0" collapsed="false">
      <c r="A161" s="22" t="str">
        <f aca="false">IF($I161="","",INDEX(Accounts!$A$12:$A$311,MATCH($I161,Accounts!$T$12:$T$311,0))&amp;"")</f>
        <v/>
      </c>
      <c r="B161" s="30" t="str">
        <f aca="false">IF($I161="","",IF(INDEX(Accounts!$R$12:$R$311,MATCH($I161,Accounts!$T$12:$T$311,0))="Check inputs","—",INDEX(Accounts!$B$12:$B$311,MATCH($I161,Accounts!$T$12:$T$311,0))))</f>
        <v/>
      </c>
      <c r="C161" s="30" t="str">
        <f aca="false">IF($I161="","",IF(INDEX(Accounts!$R$12:$R$311,MATCH($I161,Accounts!$T$12:$T$311,0))="Check inputs","—",INDEX(Accounts!$M$12:$M$311,MATCH($I161,Accounts!$T$12:$T$311,0))))</f>
        <v/>
      </c>
      <c r="D161" s="30" t="str">
        <f aca="false">IF($I161="","",IF(INDEX(Accounts!$R$12:$R$311,MATCH($I161,Accounts!$T$12:$T$311,0))="Check inputs","—",INDEX(Accounts!$N$12:$N$311,MATCH($I161,Accounts!$T$12:$T$311,0))))</f>
        <v/>
      </c>
      <c r="E161" s="31" t="str">
        <f aca="false">IF($I161="","",IF(INDEX(Accounts!$R$12:$R$311,MATCH($I161,Accounts!$T$12:$T$311,0))="Check inputs","—",INDEX(Accounts!$O$12:$O$311,MATCH($I161,Accounts!$T$12:$T$311,0))))</f>
        <v/>
      </c>
      <c r="F161" s="30" t="str">
        <f aca="false">IF($I161="","",IF(INDEX(Accounts!$R$12:$R$311,MATCH($I161,Accounts!$T$12:$T$311,0))="Check inputs","—",INDEX(Accounts!$P$12:$P$311,MATCH($I161,Accounts!$T$12:$T$311,0))))</f>
        <v/>
      </c>
      <c r="G161" s="30" t="str">
        <f aca="false">IF($I161="","",IF(INDEX(Accounts!$R$12:$R$311,MATCH($I161,Accounts!$T$12:$T$311,0))="Check inputs","—",INDEX(Accounts!$Q$12:$Q$311,MATCH($I161,Accounts!$T$12:$T$311,0))))</f>
        <v/>
      </c>
      <c r="H161" s="32" t="str">
        <f aca="false">IF($I161="","",IF(INDEX(Accounts!$R$12:$R$311,MATCH($I161,Accounts!$T$12:$T$311,0))="Check inputs","Check inputs: "&amp;INDEX(Accounts!$S$12:$S$311,MATCH($I161,Accounts!$T$12:$T$311,0)),INDEX(Accounts!$R$12:$R$311,MATCH($I161,Accounts!$T$12:$T$311,0))))</f>
        <v/>
      </c>
      <c r="I161" s="33" t="str">
        <f aca="false">IF(153&gt;COUNT(Accounts!$T$12:$T$311),"",SMALL(Accounts!$T$12:$T$311,153))</f>
        <v/>
      </c>
    </row>
    <row r="162" customFormat="false" ht="15" hidden="false" customHeight="false" outlineLevel="0" collapsed="false">
      <c r="A162" s="22" t="str">
        <f aca="false">IF($I162="","",INDEX(Accounts!$A$12:$A$311,MATCH($I162,Accounts!$T$12:$T$311,0))&amp;"")</f>
        <v/>
      </c>
      <c r="B162" s="30" t="str">
        <f aca="false">IF($I162="","",IF(INDEX(Accounts!$R$12:$R$311,MATCH($I162,Accounts!$T$12:$T$311,0))="Check inputs","—",INDEX(Accounts!$B$12:$B$311,MATCH($I162,Accounts!$T$12:$T$311,0))))</f>
        <v/>
      </c>
      <c r="C162" s="30" t="str">
        <f aca="false">IF($I162="","",IF(INDEX(Accounts!$R$12:$R$311,MATCH($I162,Accounts!$T$12:$T$311,0))="Check inputs","—",INDEX(Accounts!$M$12:$M$311,MATCH($I162,Accounts!$T$12:$T$311,0))))</f>
        <v/>
      </c>
      <c r="D162" s="30" t="str">
        <f aca="false">IF($I162="","",IF(INDEX(Accounts!$R$12:$R$311,MATCH($I162,Accounts!$T$12:$T$311,0))="Check inputs","—",INDEX(Accounts!$N$12:$N$311,MATCH($I162,Accounts!$T$12:$T$311,0))))</f>
        <v/>
      </c>
      <c r="E162" s="31" t="str">
        <f aca="false">IF($I162="","",IF(INDEX(Accounts!$R$12:$R$311,MATCH($I162,Accounts!$T$12:$T$311,0))="Check inputs","—",INDEX(Accounts!$O$12:$O$311,MATCH($I162,Accounts!$T$12:$T$311,0))))</f>
        <v/>
      </c>
      <c r="F162" s="30" t="str">
        <f aca="false">IF($I162="","",IF(INDEX(Accounts!$R$12:$R$311,MATCH($I162,Accounts!$T$12:$T$311,0))="Check inputs","—",INDEX(Accounts!$P$12:$P$311,MATCH($I162,Accounts!$T$12:$T$311,0))))</f>
        <v/>
      </c>
      <c r="G162" s="30" t="str">
        <f aca="false">IF($I162="","",IF(INDEX(Accounts!$R$12:$R$311,MATCH($I162,Accounts!$T$12:$T$311,0))="Check inputs","—",INDEX(Accounts!$Q$12:$Q$311,MATCH($I162,Accounts!$T$12:$T$311,0))))</f>
        <v/>
      </c>
      <c r="H162" s="32" t="str">
        <f aca="false">IF($I162="","",IF(INDEX(Accounts!$R$12:$R$311,MATCH($I162,Accounts!$T$12:$T$311,0))="Check inputs","Check inputs: "&amp;INDEX(Accounts!$S$12:$S$311,MATCH($I162,Accounts!$T$12:$T$311,0)),INDEX(Accounts!$R$12:$R$311,MATCH($I162,Accounts!$T$12:$T$311,0))))</f>
        <v/>
      </c>
      <c r="I162" s="33" t="str">
        <f aca="false">IF(154&gt;COUNT(Accounts!$T$12:$T$311),"",SMALL(Accounts!$T$12:$T$311,154))</f>
        <v/>
      </c>
    </row>
    <row r="163" customFormat="false" ht="15" hidden="false" customHeight="false" outlineLevel="0" collapsed="false">
      <c r="A163" s="22" t="str">
        <f aca="false">IF($I163="","",INDEX(Accounts!$A$12:$A$311,MATCH($I163,Accounts!$T$12:$T$311,0))&amp;"")</f>
        <v/>
      </c>
      <c r="B163" s="30" t="str">
        <f aca="false">IF($I163="","",IF(INDEX(Accounts!$R$12:$R$311,MATCH($I163,Accounts!$T$12:$T$311,0))="Check inputs","—",INDEX(Accounts!$B$12:$B$311,MATCH($I163,Accounts!$T$12:$T$311,0))))</f>
        <v/>
      </c>
      <c r="C163" s="30" t="str">
        <f aca="false">IF($I163="","",IF(INDEX(Accounts!$R$12:$R$311,MATCH($I163,Accounts!$T$12:$T$311,0))="Check inputs","—",INDEX(Accounts!$M$12:$M$311,MATCH($I163,Accounts!$T$12:$T$311,0))))</f>
        <v/>
      </c>
      <c r="D163" s="30" t="str">
        <f aca="false">IF($I163="","",IF(INDEX(Accounts!$R$12:$R$311,MATCH($I163,Accounts!$T$12:$T$311,0))="Check inputs","—",INDEX(Accounts!$N$12:$N$311,MATCH($I163,Accounts!$T$12:$T$311,0))))</f>
        <v/>
      </c>
      <c r="E163" s="31" t="str">
        <f aca="false">IF($I163="","",IF(INDEX(Accounts!$R$12:$R$311,MATCH($I163,Accounts!$T$12:$T$311,0))="Check inputs","—",INDEX(Accounts!$O$12:$O$311,MATCH($I163,Accounts!$T$12:$T$311,0))))</f>
        <v/>
      </c>
      <c r="F163" s="30" t="str">
        <f aca="false">IF($I163="","",IF(INDEX(Accounts!$R$12:$R$311,MATCH($I163,Accounts!$T$12:$T$311,0))="Check inputs","—",INDEX(Accounts!$P$12:$P$311,MATCH($I163,Accounts!$T$12:$T$311,0))))</f>
        <v/>
      </c>
      <c r="G163" s="30" t="str">
        <f aca="false">IF($I163="","",IF(INDEX(Accounts!$R$12:$R$311,MATCH($I163,Accounts!$T$12:$T$311,0))="Check inputs","—",INDEX(Accounts!$Q$12:$Q$311,MATCH($I163,Accounts!$T$12:$T$311,0))))</f>
        <v/>
      </c>
      <c r="H163" s="32" t="str">
        <f aca="false">IF($I163="","",IF(INDEX(Accounts!$R$12:$R$311,MATCH($I163,Accounts!$T$12:$T$311,0))="Check inputs","Check inputs: "&amp;INDEX(Accounts!$S$12:$S$311,MATCH($I163,Accounts!$T$12:$T$311,0)),INDEX(Accounts!$R$12:$R$311,MATCH($I163,Accounts!$T$12:$T$311,0))))</f>
        <v/>
      </c>
      <c r="I163" s="33" t="str">
        <f aca="false">IF(155&gt;COUNT(Accounts!$T$12:$T$311),"",SMALL(Accounts!$T$12:$T$311,155))</f>
        <v/>
      </c>
    </row>
    <row r="164" customFormat="false" ht="15" hidden="false" customHeight="false" outlineLevel="0" collapsed="false">
      <c r="A164" s="22" t="str">
        <f aca="false">IF($I164="","",INDEX(Accounts!$A$12:$A$311,MATCH($I164,Accounts!$T$12:$T$311,0))&amp;"")</f>
        <v/>
      </c>
      <c r="B164" s="30" t="str">
        <f aca="false">IF($I164="","",IF(INDEX(Accounts!$R$12:$R$311,MATCH($I164,Accounts!$T$12:$T$311,0))="Check inputs","—",INDEX(Accounts!$B$12:$B$311,MATCH($I164,Accounts!$T$12:$T$311,0))))</f>
        <v/>
      </c>
      <c r="C164" s="30" t="str">
        <f aca="false">IF($I164="","",IF(INDEX(Accounts!$R$12:$R$311,MATCH($I164,Accounts!$T$12:$T$311,0))="Check inputs","—",INDEX(Accounts!$M$12:$M$311,MATCH($I164,Accounts!$T$12:$T$311,0))))</f>
        <v/>
      </c>
      <c r="D164" s="30" t="str">
        <f aca="false">IF($I164="","",IF(INDEX(Accounts!$R$12:$R$311,MATCH($I164,Accounts!$T$12:$T$311,0))="Check inputs","—",INDEX(Accounts!$N$12:$N$311,MATCH($I164,Accounts!$T$12:$T$311,0))))</f>
        <v/>
      </c>
      <c r="E164" s="31" t="str">
        <f aca="false">IF($I164="","",IF(INDEX(Accounts!$R$12:$R$311,MATCH($I164,Accounts!$T$12:$T$311,0))="Check inputs","—",INDEX(Accounts!$O$12:$O$311,MATCH($I164,Accounts!$T$12:$T$311,0))))</f>
        <v/>
      </c>
      <c r="F164" s="30" t="str">
        <f aca="false">IF($I164="","",IF(INDEX(Accounts!$R$12:$R$311,MATCH($I164,Accounts!$T$12:$T$311,0))="Check inputs","—",INDEX(Accounts!$P$12:$P$311,MATCH($I164,Accounts!$T$12:$T$311,0))))</f>
        <v/>
      </c>
      <c r="G164" s="30" t="str">
        <f aca="false">IF($I164="","",IF(INDEX(Accounts!$R$12:$R$311,MATCH($I164,Accounts!$T$12:$T$311,0))="Check inputs","—",INDEX(Accounts!$Q$12:$Q$311,MATCH($I164,Accounts!$T$12:$T$311,0))))</f>
        <v/>
      </c>
      <c r="H164" s="32" t="str">
        <f aca="false">IF($I164="","",IF(INDEX(Accounts!$R$12:$R$311,MATCH($I164,Accounts!$T$12:$T$311,0))="Check inputs","Check inputs: "&amp;INDEX(Accounts!$S$12:$S$311,MATCH($I164,Accounts!$T$12:$T$311,0)),INDEX(Accounts!$R$12:$R$311,MATCH($I164,Accounts!$T$12:$T$311,0))))</f>
        <v/>
      </c>
      <c r="I164" s="33" t="str">
        <f aca="false">IF(156&gt;COUNT(Accounts!$T$12:$T$311),"",SMALL(Accounts!$T$12:$T$311,156))</f>
        <v/>
      </c>
    </row>
    <row r="165" customFormat="false" ht="15" hidden="false" customHeight="false" outlineLevel="0" collapsed="false">
      <c r="A165" s="22" t="str">
        <f aca="false">IF($I165="","",INDEX(Accounts!$A$12:$A$311,MATCH($I165,Accounts!$T$12:$T$311,0))&amp;"")</f>
        <v/>
      </c>
      <c r="B165" s="30" t="str">
        <f aca="false">IF($I165="","",IF(INDEX(Accounts!$R$12:$R$311,MATCH($I165,Accounts!$T$12:$T$311,0))="Check inputs","—",INDEX(Accounts!$B$12:$B$311,MATCH($I165,Accounts!$T$12:$T$311,0))))</f>
        <v/>
      </c>
      <c r="C165" s="30" t="str">
        <f aca="false">IF($I165="","",IF(INDEX(Accounts!$R$12:$R$311,MATCH($I165,Accounts!$T$12:$T$311,0))="Check inputs","—",INDEX(Accounts!$M$12:$M$311,MATCH($I165,Accounts!$T$12:$T$311,0))))</f>
        <v/>
      </c>
      <c r="D165" s="30" t="str">
        <f aca="false">IF($I165="","",IF(INDEX(Accounts!$R$12:$R$311,MATCH($I165,Accounts!$T$12:$T$311,0))="Check inputs","—",INDEX(Accounts!$N$12:$N$311,MATCH($I165,Accounts!$T$12:$T$311,0))))</f>
        <v/>
      </c>
      <c r="E165" s="31" t="str">
        <f aca="false">IF($I165="","",IF(INDEX(Accounts!$R$12:$R$311,MATCH($I165,Accounts!$T$12:$T$311,0))="Check inputs","—",INDEX(Accounts!$O$12:$O$311,MATCH($I165,Accounts!$T$12:$T$311,0))))</f>
        <v/>
      </c>
      <c r="F165" s="30" t="str">
        <f aca="false">IF($I165="","",IF(INDEX(Accounts!$R$12:$R$311,MATCH($I165,Accounts!$T$12:$T$311,0))="Check inputs","—",INDEX(Accounts!$P$12:$P$311,MATCH($I165,Accounts!$T$12:$T$311,0))))</f>
        <v/>
      </c>
      <c r="G165" s="30" t="str">
        <f aca="false">IF($I165="","",IF(INDEX(Accounts!$R$12:$R$311,MATCH($I165,Accounts!$T$12:$T$311,0))="Check inputs","—",INDEX(Accounts!$Q$12:$Q$311,MATCH($I165,Accounts!$T$12:$T$311,0))))</f>
        <v/>
      </c>
      <c r="H165" s="32" t="str">
        <f aca="false">IF($I165="","",IF(INDEX(Accounts!$R$12:$R$311,MATCH($I165,Accounts!$T$12:$T$311,0))="Check inputs","Check inputs: "&amp;INDEX(Accounts!$S$12:$S$311,MATCH($I165,Accounts!$T$12:$T$311,0)),INDEX(Accounts!$R$12:$R$311,MATCH($I165,Accounts!$T$12:$T$311,0))))</f>
        <v/>
      </c>
      <c r="I165" s="33" t="str">
        <f aca="false">IF(157&gt;COUNT(Accounts!$T$12:$T$311),"",SMALL(Accounts!$T$12:$T$311,157))</f>
        <v/>
      </c>
    </row>
    <row r="166" customFormat="false" ht="15" hidden="false" customHeight="false" outlineLevel="0" collapsed="false">
      <c r="A166" s="22" t="str">
        <f aca="false">IF($I166="","",INDEX(Accounts!$A$12:$A$311,MATCH($I166,Accounts!$T$12:$T$311,0))&amp;"")</f>
        <v/>
      </c>
      <c r="B166" s="30" t="str">
        <f aca="false">IF($I166="","",IF(INDEX(Accounts!$R$12:$R$311,MATCH($I166,Accounts!$T$12:$T$311,0))="Check inputs","—",INDEX(Accounts!$B$12:$B$311,MATCH($I166,Accounts!$T$12:$T$311,0))))</f>
        <v/>
      </c>
      <c r="C166" s="30" t="str">
        <f aca="false">IF($I166="","",IF(INDEX(Accounts!$R$12:$R$311,MATCH($I166,Accounts!$T$12:$T$311,0))="Check inputs","—",INDEX(Accounts!$M$12:$M$311,MATCH($I166,Accounts!$T$12:$T$311,0))))</f>
        <v/>
      </c>
      <c r="D166" s="30" t="str">
        <f aca="false">IF($I166="","",IF(INDEX(Accounts!$R$12:$R$311,MATCH($I166,Accounts!$T$12:$T$311,0))="Check inputs","—",INDEX(Accounts!$N$12:$N$311,MATCH($I166,Accounts!$T$12:$T$311,0))))</f>
        <v/>
      </c>
      <c r="E166" s="31" t="str">
        <f aca="false">IF($I166="","",IF(INDEX(Accounts!$R$12:$R$311,MATCH($I166,Accounts!$T$12:$T$311,0))="Check inputs","—",INDEX(Accounts!$O$12:$O$311,MATCH($I166,Accounts!$T$12:$T$311,0))))</f>
        <v/>
      </c>
      <c r="F166" s="30" t="str">
        <f aca="false">IF($I166="","",IF(INDEX(Accounts!$R$12:$R$311,MATCH($I166,Accounts!$T$12:$T$311,0))="Check inputs","—",INDEX(Accounts!$P$12:$P$311,MATCH($I166,Accounts!$T$12:$T$311,0))))</f>
        <v/>
      </c>
      <c r="G166" s="30" t="str">
        <f aca="false">IF($I166="","",IF(INDEX(Accounts!$R$12:$R$311,MATCH($I166,Accounts!$T$12:$T$311,0))="Check inputs","—",INDEX(Accounts!$Q$12:$Q$311,MATCH($I166,Accounts!$T$12:$T$311,0))))</f>
        <v/>
      </c>
      <c r="H166" s="32" t="str">
        <f aca="false">IF($I166="","",IF(INDEX(Accounts!$R$12:$R$311,MATCH($I166,Accounts!$T$12:$T$311,0))="Check inputs","Check inputs: "&amp;INDEX(Accounts!$S$12:$S$311,MATCH($I166,Accounts!$T$12:$T$311,0)),INDEX(Accounts!$R$12:$R$311,MATCH($I166,Accounts!$T$12:$T$311,0))))</f>
        <v/>
      </c>
      <c r="I166" s="33" t="str">
        <f aca="false">IF(158&gt;COUNT(Accounts!$T$12:$T$311),"",SMALL(Accounts!$T$12:$T$311,158))</f>
        <v/>
      </c>
    </row>
    <row r="167" customFormat="false" ht="15" hidden="false" customHeight="false" outlineLevel="0" collapsed="false">
      <c r="A167" s="22" t="str">
        <f aca="false">IF($I167="","",INDEX(Accounts!$A$12:$A$311,MATCH($I167,Accounts!$T$12:$T$311,0))&amp;"")</f>
        <v/>
      </c>
      <c r="B167" s="30" t="str">
        <f aca="false">IF($I167="","",IF(INDEX(Accounts!$R$12:$R$311,MATCH($I167,Accounts!$T$12:$T$311,0))="Check inputs","—",INDEX(Accounts!$B$12:$B$311,MATCH($I167,Accounts!$T$12:$T$311,0))))</f>
        <v/>
      </c>
      <c r="C167" s="30" t="str">
        <f aca="false">IF($I167="","",IF(INDEX(Accounts!$R$12:$R$311,MATCH($I167,Accounts!$T$12:$T$311,0))="Check inputs","—",INDEX(Accounts!$M$12:$M$311,MATCH($I167,Accounts!$T$12:$T$311,0))))</f>
        <v/>
      </c>
      <c r="D167" s="30" t="str">
        <f aca="false">IF($I167="","",IF(INDEX(Accounts!$R$12:$R$311,MATCH($I167,Accounts!$T$12:$T$311,0))="Check inputs","—",INDEX(Accounts!$N$12:$N$311,MATCH($I167,Accounts!$T$12:$T$311,0))))</f>
        <v/>
      </c>
      <c r="E167" s="31" t="str">
        <f aca="false">IF($I167="","",IF(INDEX(Accounts!$R$12:$R$311,MATCH($I167,Accounts!$T$12:$T$311,0))="Check inputs","—",INDEX(Accounts!$O$12:$O$311,MATCH($I167,Accounts!$T$12:$T$311,0))))</f>
        <v/>
      </c>
      <c r="F167" s="30" t="str">
        <f aca="false">IF($I167="","",IF(INDEX(Accounts!$R$12:$R$311,MATCH($I167,Accounts!$T$12:$T$311,0))="Check inputs","—",INDEX(Accounts!$P$12:$P$311,MATCH($I167,Accounts!$T$12:$T$311,0))))</f>
        <v/>
      </c>
      <c r="G167" s="30" t="str">
        <f aca="false">IF($I167="","",IF(INDEX(Accounts!$R$12:$R$311,MATCH($I167,Accounts!$T$12:$T$311,0))="Check inputs","—",INDEX(Accounts!$Q$12:$Q$311,MATCH($I167,Accounts!$T$12:$T$311,0))))</f>
        <v/>
      </c>
      <c r="H167" s="32" t="str">
        <f aca="false">IF($I167="","",IF(INDEX(Accounts!$R$12:$R$311,MATCH($I167,Accounts!$T$12:$T$311,0))="Check inputs","Check inputs: "&amp;INDEX(Accounts!$S$12:$S$311,MATCH($I167,Accounts!$T$12:$T$311,0)),INDEX(Accounts!$R$12:$R$311,MATCH($I167,Accounts!$T$12:$T$311,0))))</f>
        <v/>
      </c>
      <c r="I167" s="33" t="str">
        <f aca="false">IF(159&gt;COUNT(Accounts!$T$12:$T$311),"",SMALL(Accounts!$T$12:$T$311,159))</f>
        <v/>
      </c>
    </row>
    <row r="168" customFormat="false" ht="15" hidden="false" customHeight="false" outlineLevel="0" collapsed="false">
      <c r="A168" s="22" t="str">
        <f aca="false">IF($I168="","",INDEX(Accounts!$A$12:$A$311,MATCH($I168,Accounts!$T$12:$T$311,0))&amp;"")</f>
        <v/>
      </c>
      <c r="B168" s="30" t="str">
        <f aca="false">IF($I168="","",IF(INDEX(Accounts!$R$12:$R$311,MATCH($I168,Accounts!$T$12:$T$311,0))="Check inputs","—",INDEX(Accounts!$B$12:$B$311,MATCH($I168,Accounts!$T$12:$T$311,0))))</f>
        <v/>
      </c>
      <c r="C168" s="30" t="str">
        <f aca="false">IF($I168="","",IF(INDEX(Accounts!$R$12:$R$311,MATCH($I168,Accounts!$T$12:$T$311,0))="Check inputs","—",INDEX(Accounts!$M$12:$M$311,MATCH($I168,Accounts!$T$12:$T$311,0))))</f>
        <v/>
      </c>
      <c r="D168" s="30" t="str">
        <f aca="false">IF($I168="","",IF(INDEX(Accounts!$R$12:$R$311,MATCH($I168,Accounts!$T$12:$T$311,0))="Check inputs","—",INDEX(Accounts!$N$12:$N$311,MATCH($I168,Accounts!$T$12:$T$311,0))))</f>
        <v/>
      </c>
      <c r="E168" s="31" t="str">
        <f aca="false">IF($I168="","",IF(INDEX(Accounts!$R$12:$R$311,MATCH($I168,Accounts!$T$12:$T$311,0))="Check inputs","—",INDEX(Accounts!$O$12:$O$311,MATCH($I168,Accounts!$T$12:$T$311,0))))</f>
        <v/>
      </c>
      <c r="F168" s="30" t="str">
        <f aca="false">IF($I168="","",IF(INDEX(Accounts!$R$12:$R$311,MATCH($I168,Accounts!$T$12:$T$311,0))="Check inputs","—",INDEX(Accounts!$P$12:$P$311,MATCH($I168,Accounts!$T$12:$T$311,0))))</f>
        <v/>
      </c>
      <c r="G168" s="30" t="str">
        <f aca="false">IF($I168="","",IF(INDEX(Accounts!$R$12:$R$311,MATCH($I168,Accounts!$T$12:$T$311,0))="Check inputs","—",INDEX(Accounts!$Q$12:$Q$311,MATCH($I168,Accounts!$T$12:$T$311,0))))</f>
        <v/>
      </c>
      <c r="H168" s="32" t="str">
        <f aca="false">IF($I168="","",IF(INDEX(Accounts!$R$12:$R$311,MATCH($I168,Accounts!$T$12:$T$311,0))="Check inputs","Check inputs: "&amp;INDEX(Accounts!$S$12:$S$311,MATCH($I168,Accounts!$T$12:$T$311,0)),INDEX(Accounts!$R$12:$R$311,MATCH($I168,Accounts!$T$12:$T$311,0))))</f>
        <v/>
      </c>
      <c r="I168" s="33" t="str">
        <f aca="false">IF(160&gt;COUNT(Accounts!$T$12:$T$311),"",SMALL(Accounts!$T$12:$T$311,160))</f>
        <v/>
      </c>
    </row>
    <row r="169" customFormat="false" ht="15" hidden="false" customHeight="false" outlineLevel="0" collapsed="false">
      <c r="A169" s="22" t="str">
        <f aca="false">IF($I169="","",INDEX(Accounts!$A$12:$A$311,MATCH($I169,Accounts!$T$12:$T$311,0))&amp;"")</f>
        <v/>
      </c>
      <c r="B169" s="30" t="str">
        <f aca="false">IF($I169="","",IF(INDEX(Accounts!$R$12:$R$311,MATCH($I169,Accounts!$T$12:$T$311,0))="Check inputs","—",INDEX(Accounts!$B$12:$B$311,MATCH($I169,Accounts!$T$12:$T$311,0))))</f>
        <v/>
      </c>
      <c r="C169" s="30" t="str">
        <f aca="false">IF($I169="","",IF(INDEX(Accounts!$R$12:$R$311,MATCH($I169,Accounts!$T$12:$T$311,0))="Check inputs","—",INDEX(Accounts!$M$12:$M$311,MATCH($I169,Accounts!$T$12:$T$311,0))))</f>
        <v/>
      </c>
      <c r="D169" s="30" t="str">
        <f aca="false">IF($I169="","",IF(INDEX(Accounts!$R$12:$R$311,MATCH($I169,Accounts!$T$12:$T$311,0))="Check inputs","—",INDEX(Accounts!$N$12:$N$311,MATCH($I169,Accounts!$T$12:$T$311,0))))</f>
        <v/>
      </c>
      <c r="E169" s="31" t="str">
        <f aca="false">IF($I169="","",IF(INDEX(Accounts!$R$12:$R$311,MATCH($I169,Accounts!$T$12:$T$311,0))="Check inputs","—",INDEX(Accounts!$O$12:$O$311,MATCH($I169,Accounts!$T$12:$T$311,0))))</f>
        <v/>
      </c>
      <c r="F169" s="30" t="str">
        <f aca="false">IF($I169="","",IF(INDEX(Accounts!$R$12:$R$311,MATCH($I169,Accounts!$T$12:$T$311,0))="Check inputs","—",INDEX(Accounts!$P$12:$P$311,MATCH($I169,Accounts!$T$12:$T$311,0))))</f>
        <v/>
      </c>
      <c r="G169" s="30" t="str">
        <f aca="false">IF($I169="","",IF(INDEX(Accounts!$R$12:$R$311,MATCH($I169,Accounts!$T$12:$T$311,0))="Check inputs","—",INDEX(Accounts!$Q$12:$Q$311,MATCH($I169,Accounts!$T$12:$T$311,0))))</f>
        <v/>
      </c>
      <c r="H169" s="32" t="str">
        <f aca="false">IF($I169="","",IF(INDEX(Accounts!$R$12:$R$311,MATCH($I169,Accounts!$T$12:$T$311,0))="Check inputs","Check inputs: "&amp;INDEX(Accounts!$S$12:$S$311,MATCH($I169,Accounts!$T$12:$T$311,0)),INDEX(Accounts!$R$12:$R$311,MATCH($I169,Accounts!$T$12:$T$311,0))))</f>
        <v/>
      </c>
      <c r="I169" s="33" t="str">
        <f aca="false">IF(161&gt;COUNT(Accounts!$T$12:$T$311),"",SMALL(Accounts!$T$12:$T$311,161))</f>
        <v/>
      </c>
    </row>
    <row r="170" customFormat="false" ht="15" hidden="false" customHeight="false" outlineLevel="0" collapsed="false">
      <c r="A170" s="22" t="str">
        <f aca="false">IF($I170="","",INDEX(Accounts!$A$12:$A$311,MATCH($I170,Accounts!$T$12:$T$311,0))&amp;"")</f>
        <v/>
      </c>
      <c r="B170" s="30" t="str">
        <f aca="false">IF($I170="","",IF(INDEX(Accounts!$R$12:$R$311,MATCH($I170,Accounts!$T$12:$T$311,0))="Check inputs","—",INDEX(Accounts!$B$12:$B$311,MATCH($I170,Accounts!$T$12:$T$311,0))))</f>
        <v/>
      </c>
      <c r="C170" s="30" t="str">
        <f aca="false">IF($I170="","",IF(INDEX(Accounts!$R$12:$R$311,MATCH($I170,Accounts!$T$12:$T$311,0))="Check inputs","—",INDEX(Accounts!$M$12:$M$311,MATCH($I170,Accounts!$T$12:$T$311,0))))</f>
        <v/>
      </c>
      <c r="D170" s="30" t="str">
        <f aca="false">IF($I170="","",IF(INDEX(Accounts!$R$12:$R$311,MATCH($I170,Accounts!$T$12:$T$311,0))="Check inputs","—",INDEX(Accounts!$N$12:$N$311,MATCH($I170,Accounts!$T$12:$T$311,0))))</f>
        <v/>
      </c>
      <c r="E170" s="31" t="str">
        <f aca="false">IF($I170="","",IF(INDEX(Accounts!$R$12:$R$311,MATCH($I170,Accounts!$T$12:$T$311,0))="Check inputs","—",INDEX(Accounts!$O$12:$O$311,MATCH($I170,Accounts!$T$12:$T$311,0))))</f>
        <v/>
      </c>
      <c r="F170" s="30" t="str">
        <f aca="false">IF($I170="","",IF(INDEX(Accounts!$R$12:$R$311,MATCH($I170,Accounts!$T$12:$T$311,0))="Check inputs","—",INDEX(Accounts!$P$12:$P$311,MATCH($I170,Accounts!$T$12:$T$311,0))))</f>
        <v/>
      </c>
      <c r="G170" s="30" t="str">
        <f aca="false">IF($I170="","",IF(INDEX(Accounts!$R$12:$R$311,MATCH($I170,Accounts!$T$12:$T$311,0))="Check inputs","—",INDEX(Accounts!$Q$12:$Q$311,MATCH($I170,Accounts!$T$12:$T$311,0))))</f>
        <v/>
      </c>
      <c r="H170" s="32" t="str">
        <f aca="false">IF($I170="","",IF(INDEX(Accounts!$R$12:$R$311,MATCH($I170,Accounts!$T$12:$T$311,0))="Check inputs","Check inputs: "&amp;INDEX(Accounts!$S$12:$S$311,MATCH($I170,Accounts!$T$12:$T$311,0)),INDEX(Accounts!$R$12:$R$311,MATCH($I170,Accounts!$T$12:$T$311,0))))</f>
        <v/>
      </c>
      <c r="I170" s="33" t="str">
        <f aca="false">IF(162&gt;COUNT(Accounts!$T$12:$T$311),"",SMALL(Accounts!$T$12:$T$311,162))</f>
        <v/>
      </c>
    </row>
    <row r="171" customFormat="false" ht="15" hidden="false" customHeight="false" outlineLevel="0" collapsed="false">
      <c r="A171" s="22" t="str">
        <f aca="false">IF($I171="","",INDEX(Accounts!$A$12:$A$311,MATCH($I171,Accounts!$T$12:$T$311,0))&amp;"")</f>
        <v/>
      </c>
      <c r="B171" s="30" t="str">
        <f aca="false">IF($I171="","",IF(INDEX(Accounts!$R$12:$R$311,MATCH($I171,Accounts!$T$12:$T$311,0))="Check inputs","—",INDEX(Accounts!$B$12:$B$311,MATCH($I171,Accounts!$T$12:$T$311,0))))</f>
        <v/>
      </c>
      <c r="C171" s="30" t="str">
        <f aca="false">IF($I171="","",IF(INDEX(Accounts!$R$12:$R$311,MATCH($I171,Accounts!$T$12:$T$311,0))="Check inputs","—",INDEX(Accounts!$M$12:$M$311,MATCH($I171,Accounts!$T$12:$T$311,0))))</f>
        <v/>
      </c>
      <c r="D171" s="30" t="str">
        <f aca="false">IF($I171="","",IF(INDEX(Accounts!$R$12:$R$311,MATCH($I171,Accounts!$T$12:$T$311,0))="Check inputs","—",INDEX(Accounts!$N$12:$N$311,MATCH($I171,Accounts!$T$12:$T$311,0))))</f>
        <v/>
      </c>
      <c r="E171" s="31" t="str">
        <f aca="false">IF($I171="","",IF(INDEX(Accounts!$R$12:$R$311,MATCH($I171,Accounts!$T$12:$T$311,0))="Check inputs","—",INDEX(Accounts!$O$12:$O$311,MATCH($I171,Accounts!$T$12:$T$311,0))))</f>
        <v/>
      </c>
      <c r="F171" s="30" t="str">
        <f aca="false">IF($I171="","",IF(INDEX(Accounts!$R$12:$R$311,MATCH($I171,Accounts!$T$12:$T$311,0))="Check inputs","—",INDEX(Accounts!$P$12:$P$311,MATCH($I171,Accounts!$T$12:$T$311,0))))</f>
        <v/>
      </c>
      <c r="G171" s="30" t="str">
        <f aca="false">IF($I171="","",IF(INDEX(Accounts!$R$12:$R$311,MATCH($I171,Accounts!$T$12:$T$311,0))="Check inputs","—",INDEX(Accounts!$Q$12:$Q$311,MATCH($I171,Accounts!$T$12:$T$311,0))))</f>
        <v/>
      </c>
      <c r="H171" s="32" t="str">
        <f aca="false">IF($I171="","",IF(INDEX(Accounts!$R$12:$R$311,MATCH($I171,Accounts!$T$12:$T$311,0))="Check inputs","Check inputs: "&amp;INDEX(Accounts!$S$12:$S$311,MATCH($I171,Accounts!$T$12:$T$311,0)),INDEX(Accounts!$R$12:$R$311,MATCH($I171,Accounts!$T$12:$T$311,0))))</f>
        <v/>
      </c>
      <c r="I171" s="33" t="str">
        <f aca="false">IF(163&gt;COUNT(Accounts!$T$12:$T$311),"",SMALL(Accounts!$T$12:$T$311,163))</f>
        <v/>
      </c>
    </row>
    <row r="172" customFormat="false" ht="15" hidden="false" customHeight="false" outlineLevel="0" collapsed="false">
      <c r="A172" s="22" t="str">
        <f aca="false">IF($I172="","",INDEX(Accounts!$A$12:$A$311,MATCH($I172,Accounts!$T$12:$T$311,0))&amp;"")</f>
        <v/>
      </c>
      <c r="B172" s="30" t="str">
        <f aca="false">IF($I172="","",IF(INDEX(Accounts!$R$12:$R$311,MATCH($I172,Accounts!$T$12:$T$311,0))="Check inputs","—",INDEX(Accounts!$B$12:$B$311,MATCH($I172,Accounts!$T$12:$T$311,0))))</f>
        <v/>
      </c>
      <c r="C172" s="30" t="str">
        <f aca="false">IF($I172="","",IF(INDEX(Accounts!$R$12:$R$311,MATCH($I172,Accounts!$T$12:$T$311,0))="Check inputs","—",INDEX(Accounts!$M$12:$M$311,MATCH($I172,Accounts!$T$12:$T$311,0))))</f>
        <v/>
      </c>
      <c r="D172" s="30" t="str">
        <f aca="false">IF($I172="","",IF(INDEX(Accounts!$R$12:$R$311,MATCH($I172,Accounts!$T$12:$T$311,0))="Check inputs","—",INDEX(Accounts!$N$12:$N$311,MATCH($I172,Accounts!$T$12:$T$311,0))))</f>
        <v/>
      </c>
      <c r="E172" s="31" t="str">
        <f aca="false">IF($I172="","",IF(INDEX(Accounts!$R$12:$R$311,MATCH($I172,Accounts!$T$12:$T$311,0))="Check inputs","—",INDEX(Accounts!$O$12:$O$311,MATCH($I172,Accounts!$T$12:$T$311,0))))</f>
        <v/>
      </c>
      <c r="F172" s="30" t="str">
        <f aca="false">IF($I172="","",IF(INDEX(Accounts!$R$12:$R$311,MATCH($I172,Accounts!$T$12:$T$311,0))="Check inputs","—",INDEX(Accounts!$P$12:$P$311,MATCH($I172,Accounts!$T$12:$T$311,0))))</f>
        <v/>
      </c>
      <c r="G172" s="30" t="str">
        <f aca="false">IF($I172="","",IF(INDEX(Accounts!$R$12:$R$311,MATCH($I172,Accounts!$T$12:$T$311,0))="Check inputs","—",INDEX(Accounts!$Q$12:$Q$311,MATCH($I172,Accounts!$T$12:$T$311,0))))</f>
        <v/>
      </c>
      <c r="H172" s="32" t="str">
        <f aca="false">IF($I172="","",IF(INDEX(Accounts!$R$12:$R$311,MATCH($I172,Accounts!$T$12:$T$311,0))="Check inputs","Check inputs: "&amp;INDEX(Accounts!$S$12:$S$311,MATCH($I172,Accounts!$T$12:$T$311,0)),INDEX(Accounts!$R$12:$R$311,MATCH($I172,Accounts!$T$12:$T$311,0))))</f>
        <v/>
      </c>
      <c r="I172" s="33" t="str">
        <f aca="false">IF(164&gt;COUNT(Accounts!$T$12:$T$311),"",SMALL(Accounts!$T$12:$T$311,164))</f>
        <v/>
      </c>
    </row>
    <row r="173" customFormat="false" ht="15" hidden="false" customHeight="false" outlineLevel="0" collapsed="false">
      <c r="A173" s="22" t="str">
        <f aca="false">IF($I173="","",INDEX(Accounts!$A$12:$A$311,MATCH($I173,Accounts!$T$12:$T$311,0))&amp;"")</f>
        <v/>
      </c>
      <c r="B173" s="30" t="str">
        <f aca="false">IF($I173="","",IF(INDEX(Accounts!$R$12:$R$311,MATCH($I173,Accounts!$T$12:$T$311,0))="Check inputs","—",INDEX(Accounts!$B$12:$B$311,MATCH($I173,Accounts!$T$12:$T$311,0))))</f>
        <v/>
      </c>
      <c r="C173" s="30" t="str">
        <f aca="false">IF($I173="","",IF(INDEX(Accounts!$R$12:$R$311,MATCH($I173,Accounts!$T$12:$T$311,0))="Check inputs","—",INDEX(Accounts!$M$12:$M$311,MATCH($I173,Accounts!$T$12:$T$311,0))))</f>
        <v/>
      </c>
      <c r="D173" s="30" t="str">
        <f aca="false">IF($I173="","",IF(INDEX(Accounts!$R$12:$R$311,MATCH($I173,Accounts!$T$12:$T$311,0))="Check inputs","—",INDEX(Accounts!$N$12:$N$311,MATCH($I173,Accounts!$T$12:$T$311,0))))</f>
        <v/>
      </c>
      <c r="E173" s="31" t="str">
        <f aca="false">IF($I173="","",IF(INDEX(Accounts!$R$12:$R$311,MATCH($I173,Accounts!$T$12:$T$311,0))="Check inputs","—",INDEX(Accounts!$O$12:$O$311,MATCH($I173,Accounts!$T$12:$T$311,0))))</f>
        <v/>
      </c>
      <c r="F173" s="30" t="str">
        <f aca="false">IF($I173="","",IF(INDEX(Accounts!$R$12:$R$311,MATCH($I173,Accounts!$T$12:$T$311,0))="Check inputs","—",INDEX(Accounts!$P$12:$P$311,MATCH($I173,Accounts!$T$12:$T$311,0))))</f>
        <v/>
      </c>
      <c r="G173" s="30" t="str">
        <f aca="false">IF($I173="","",IF(INDEX(Accounts!$R$12:$R$311,MATCH($I173,Accounts!$T$12:$T$311,0))="Check inputs","—",INDEX(Accounts!$Q$12:$Q$311,MATCH($I173,Accounts!$T$12:$T$311,0))))</f>
        <v/>
      </c>
      <c r="H173" s="32" t="str">
        <f aca="false">IF($I173="","",IF(INDEX(Accounts!$R$12:$R$311,MATCH($I173,Accounts!$T$12:$T$311,0))="Check inputs","Check inputs: "&amp;INDEX(Accounts!$S$12:$S$311,MATCH($I173,Accounts!$T$12:$T$311,0)),INDEX(Accounts!$R$12:$R$311,MATCH($I173,Accounts!$T$12:$T$311,0))))</f>
        <v/>
      </c>
      <c r="I173" s="33" t="str">
        <f aca="false">IF(165&gt;COUNT(Accounts!$T$12:$T$311),"",SMALL(Accounts!$T$12:$T$311,165))</f>
        <v/>
      </c>
    </row>
    <row r="174" customFormat="false" ht="15" hidden="false" customHeight="false" outlineLevel="0" collapsed="false">
      <c r="A174" s="22" t="str">
        <f aca="false">IF($I174="","",INDEX(Accounts!$A$12:$A$311,MATCH($I174,Accounts!$T$12:$T$311,0))&amp;"")</f>
        <v/>
      </c>
      <c r="B174" s="30" t="str">
        <f aca="false">IF($I174="","",IF(INDEX(Accounts!$R$12:$R$311,MATCH($I174,Accounts!$T$12:$T$311,0))="Check inputs","—",INDEX(Accounts!$B$12:$B$311,MATCH($I174,Accounts!$T$12:$T$311,0))))</f>
        <v/>
      </c>
      <c r="C174" s="30" t="str">
        <f aca="false">IF($I174="","",IF(INDEX(Accounts!$R$12:$R$311,MATCH($I174,Accounts!$T$12:$T$311,0))="Check inputs","—",INDEX(Accounts!$M$12:$M$311,MATCH($I174,Accounts!$T$12:$T$311,0))))</f>
        <v/>
      </c>
      <c r="D174" s="30" t="str">
        <f aca="false">IF($I174="","",IF(INDEX(Accounts!$R$12:$R$311,MATCH($I174,Accounts!$T$12:$T$311,0))="Check inputs","—",INDEX(Accounts!$N$12:$N$311,MATCH($I174,Accounts!$T$12:$T$311,0))))</f>
        <v/>
      </c>
      <c r="E174" s="31" t="str">
        <f aca="false">IF($I174="","",IF(INDEX(Accounts!$R$12:$R$311,MATCH($I174,Accounts!$T$12:$T$311,0))="Check inputs","—",INDEX(Accounts!$O$12:$O$311,MATCH($I174,Accounts!$T$12:$T$311,0))))</f>
        <v/>
      </c>
      <c r="F174" s="30" t="str">
        <f aca="false">IF($I174="","",IF(INDEX(Accounts!$R$12:$R$311,MATCH($I174,Accounts!$T$12:$T$311,0))="Check inputs","—",INDEX(Accounts!$P$12:$P$311,MATCH($I174,Accounts!$T$12:$T$311,0))))</f>
        <v/>
      </c>
      <c r="G174" s="30" t="str">
        <f aca="false">IF($I174="","",IF(INDEX(Accounts!$R$12:$R$311,MATCH($I174,Accounts!$T$12:$T$311,0))="Check inputs","—",INDEX(Accounts!$Q$12:$Q$311,MATCH($I174,Accounts!$T$12:$T$311,0))))</f>
        <v/>
      </c>
      <c r="H174" s="32" t="str">
        <f aca="false">IF($I174="","",IF(INDEX(Accounts!$R$12:$R$311,MATCH($I174,Accounts!$T$12:$T$311,0))="Check inputs","Check inputs: "&amp;INDEX(Accounts!$S$12:$S$311,MATCH($I174,Accounts!$T$12:$T$311,0)),INDEX(Accounts!$R$12:$R$311,MATCH($I174,Accounts!$T$12:$T$311,0))))</f>
        <v/>
      </c>
      <c r="I174" s="33" t="str">
        <f aca="false">IF(166&gt;COUNT(Accounts!$T$12:$T$311),"",SMALL(Accounts!$T$12:$T$311,166))</f>
        <v/>
      </c>
    </row>
    <row r="175" customFormat="false" ht="15" hidden="false" customHeight="false" outlineLevel="0" collapsed="false">
      <c r="A175" s="22" t="str">
        <f aca="false">IF($I175="","",INDEX(Accounts!$A$12:$A$311,MATCH($I175,Accounts!$T$12:$T$311,0))&amp;"")</f>
        <v/>
      </c>
      <c r="B175" s="30" t="str">
        <f aca="false">IF($I175="","",IF(INDEX(Accounts!$R$12:$R$311,MATCH($I175,Accounts!$T$12:$T$311,0))="Check inputs","—",INDEX(Accounts!$B$12:$B$311,MATCH($I175,Accounts!$T$12:$T$311,0))))</f>
        <v/>
      </c>
      <c r="C175" s="30" t="str">
        <f aca="false">IF($I175="","",IF(INDEX(Accounts!$R$12:$R$311,MATCH($I175,Accounts!$T$12:$T$311,0))="Check inputs","—",INDEX(Accounts!$M$12:$M$311,MATCH($I175,Accounts!$T$12:$T$311,0))))</f>
        <v/>
      </c>
      <c r="D175" s="30" t="str">
        <f aca="false">IF($I175="","",IF(INDEX(Accounts!$R$12:$R$311,MATCH($I175,Accounts!$T$12:$T$311,0))="Check inputs","—",INDEX(Accounts!$N$12:$N$311,MATCH($I175,Accounts!$T$12:$T$311,0))))</f>
        <v/>
      </c>
      <c r="E175" s="31" t="str">
        <f aca="false">IF($I175="","",IF(INDEX(Accounts!$R$12:$R$311,MATCH($I175,Accounts!$T$12:$T$311,0))="Check inputs","—",INDEX(Accounts!$O$12:$O$311,MATCH($I175,Accounts!$T$12:$T$311,0))))</f>
        <v/>
      </c>
      <c r="F175" s="30" t="str">
        <f aca="false">IF($I175="","",IF(INDEX(Accounts!$R$12:$R$311,MATCH($I175,Accounts!$T$12:$T$311,0))="Check inputs","—",INDEX(Accounts!$P$12:$P$311,MATCH($I175,Accounts!$T$12:$T$311,0))))</f>
        <v/>
      </c>
      <c r="G175" s="30" t="str">
        <f aca="false">IF($I175="","",IF(INDEX(Accounts!$R$12:$R$311,MATCH($I175,Accounts!$T$12:$T$311,0))="Check inputs","—",INDEX(Accounts!$Q$12:$Q$311,MATCH($I175,Accounts!$T$12:$T$311,0))))</f>
        <v/>
      </c>
      <c r="H175" s="32" t="str">
        <f aca="false">IF($I175="","",IF(INDEX(Accounts!$R$12:$R$311,MATCH($I175,Accounts!$T$12:$T$311,0))="Check inputs","Check inputs: "&amp;INDEX(Accounts!$S$12:$S$311,MATCH($I175,Accounts!$T$12:$T$311,0)),INDEX(Accounts!$R$12:$R$311,MATCH($I175,Accounts!$T$12:$T$311,0))))</f>
        <v/>
      </c>
      <c r="I175" s="33" t="str">
        <f aca="false">IF(167&gt;COUNT(Accounts!$T$12:$T$311),"",SMALL(Accounts!$T$12:$T$311,167))</f>
        <v/>
      </c>
    </row>
    <row r="176" customFormat="false" ht="15" hidden="false" customHeight="false" outlineLevel="0" collapsed="false">
      <c r="A176" s="22" t="str">
        <f aca="false">IF($I176="","",INDEX(Accounts!$A$12:$A$311,MATCH($I176,Accounts!$T$12:$T$311,0))&amp;"")</f>
        <v/>
      </c>
      <c r="B176" s="30" t="str">
        <f aca="false">IF($I176="","",IF(INDEX(Accounts!$R$12:$R$311,MATCH($I176,Accounts!$T$12:$T$311,0))="Check inputs","—",INDEX(Accounts!$B$12:$B$311,MATCH($I176,Accounts!$T$12:$T$311,0))))</f>
        <v/>
      </c>
      <c r="C176" s="30" t="str">
        <f aca="false">IF($I176="","",IF(INDEX(Accounts!$R$12:$R$311,MATCH($I176,Accounts!$T$12:$T$311,0))="Check inputs","—",INDEX(Accounts!$M$12:$M$311,MATCH($I176,Accounts!$T$12:$T$311,0))))</f>
        <v/>
      </c>
      <c r="D176" s="30" t="str">
        <f aca="false">IF($I176="","",IF(INDEX(Accounts!$R$12:$R$311,MATCH($I176,Accounts!$T$12:$T$311,0))="Check inputs","—",INDEX(Accounts!$N$12:$N$311,MATCH($I176,Accounts!$T$12:$T$311,0))))</f>
        <v/>
      </c>
      <c r="E176" s="31" t="str">
        <f aca="false">IF($I176="","",IF(INDEX(Accounts!$R$12:$R$311,MATCH($I176,Accounts!$T$12:$T$311,0))="Check inputs","—",INDEX(Accounts!$O$12:$O$311,MATCH($I176,Accounts!$T$12:$T$311,0))))</f>
        <v/>
      </c>
      <c r="F176" s="30" t="str">
        <f aca="false">IF($I176="","",IF(INDEX(Accounts!$R$12:$R$311,MATCH($I176,Accounts!$T$12:$T$311,0))="Check inputs","—",INDEX(Accounts!$P$12:$P$311,MATCH($I176,Accounts!$T$12:$T$311,0))))</f>
        <v/>
      </c>
      <c r="G176" s="30" t="str">
        <f aca="false">IF($I176="","",IF(INDEX(Accounts!$R$12:$R$311,MATCH($I176,Accounts!$T$12:$T$311,0))="Check inputs","—",INDEX(Accounts!$Q$12:$Q$311,MATCH($I176,Accounts!$T$12:$T$311,0))))</f>
        <v/>
      </c>
      <c r="H176" s="32" t="str">
        <f aca="false">IF($I176="","",IF(INDEX(Accounts!$R$12:$R$311,MATCH($I176,Accounts!$T$12:$T$311,0))="Check inputs","Check inputs: "&amp;INDEX(Accounts!$S$12:$S$311,MATCH($I176,Accounts!$T$12:$T$311,0)),INDEX(Accounts!$R$12:$R$311,MATCH($I176,Accounts!$T$12:$T$311,0))))</f>
        <v/>
      </c>
      <c r="I176" s="33" t="str">
        <f aca="false">IF(168&gt;COUNT(Accounts!$T$12:$T$311),"",SMALL(Accounts!$T$12:$T$311,168))</f>
        <v/>
      </c>
    </row>
    <row r="177" customFormat="false" ht="15" hidden="false" customHeight="false" outlineLevel="0" collapsed="false">
      <c r="A177" s="22" t="str">
        <f aca="false">IF($I177="","",INDEX(Accounts!$A$12:$A$311,MATCH($I177,Accounts!$T$12:$T$311,0))&amp;"")</f>
        <v/>
      </c>
      <c r="B177" s="30" t="str">
        <f aca="false">IF($I177="","",IF(INDEX(Accounts!$R$12:$R$311,MATCH($I177,Accounts!$T$12:$T$311,0))="Check inputs","—",INDEX(Accounts!$B$12:$B$311,MATCH($I177,Accounts!$T$12:$T$311,0))))</f>
        <v/>
      </c>
      <c r="C177" s="30" t="str">
        <f aca="false">IF($I177="","",IF(INDEX(Accounts!$R$12:$R$311,MATCH($I177,Accounts!$T$12:$T$311,0))="Check inputs","—",INDEX(Accounts!$M$12:$M$311,MATCH($I177,Accounts!$T$12:$T$311,0))))</f>
        <v/>
      </c>
      <c r="D177" s="30" t="str">
        <f aca="false">IF($I177="","",IF(INDEX(Accounts!$R$12:$R$311,MATCH($I177,Accounts!$T$12:$T$311,0))="Check inputs","—",INDEX(Accounts!$N$12:$N$311,MATCH($I177,Accounts!$T$12:$T$311,0))))</f>
        <v/>
      </c>
      <c r="E177" s="31" t="str">
        <f aca="false">IF($I177="","",IF(INDEX(Accounts!$R$12:$R$311,MATCH($I177,Accounts!$T$12:$T$311,0))="Check inputs","—",INDEX(Accounts!$O$12:$O$311,MATCH($I177,Accounts!$T$12:$T$311,0))))</f>
        <v/>
      </c>
      <c r="F177" s="30" t="str">
        <f aca="false">IF($I177="","",IF(INDEX(Accounts!$R$12:$R$311,MATCH($I177,Accounts!$T$12:$T$311,0))="Check inputs","—",INDEX(Accounts!$P$12:$P$311,MATCH($I177,Accounts!$T$12:$T$311,0))))</f>
        <v/>
      </c>
      <c r="G177" s="30" t="str">
        <f aca="false">IF($I177="","",IF(INDEX(Accounts!$R$12:$R$311,MATCH($I177,Accounts!$T$12:$T$311,0))="Check inputs","—",INDEX(Accounts!$Q$12:$Q$311,MATCH($I177,Accounts!$T$12:$T$311,0))))</f>
        <v/>
      </c>
      <c r="H177" s="32" t="str">
        <f aca="false">IF($I177="","",IF(INDEX(Accounts!$R$12:$R$311,MATCH($I177,Accounts!$T$12:$T$311,0))="Check inputs","Check inputs: "&amp;INDEX(Accounts!$S$12:$S$311,MATCH($I177,Accounts!$T$12:$T$311,0)),INDEX(Accounts!$R$12:$R$311,MATCH($I177,Accounts!$T$12:$T$311,0))))</f>
        <v/>
      </c>
      <c r="I177" s="33" t="str">
        <f aca="false">IF(169&gt;COUNT(Accounts!$T$12:$T$311),"",SMALL(Accounts!$T$12:$T$311,169))</f>
        <v/>
      </c>
    </row>
    <row r="178" customFormat="false" ht="15" hidden="false" customHeight="false" outlineLevel="0" collapsed="false">
      <c r="A178" s="22" t="str">
        <f aca="false">IF($I178="","",INDEX(Accounts!$A$12:$A$311,MATCH($I178,Accounts!$T$12:$T$311,0))&amp;"")</f>
        <v/>
      </c>
      <c r="B178" s="30" t="str">
        <f aca="false">IF($I178="","",IF(INDEX(Accounts!$R$12:$R$311,MATCH($I178,Accounts!$T$12:$T$311,0))="Check inputs","—",INDEX(Accounts!$B$12:$B$311,MATCH($I178,Accounts!$T$12:$T$311,0))))</f>
        <v/>
      </c>
      <c r="C178" s="30" t="str">
        <f aca="false">IF($I178="","",IF(INDEX(Accounts!$R$12:$R$311,MATCH($I178,Accounts!$T$12:$T$311,0))="Check inputs","—",INDEX(Accounts!$M$12:$M$311,MATCH($I178,Accounts!$T$12:$T$311,0))))</f>
        <v/>
      </c>
      <c r="D178" s="30" t="str">
        <f aca="false">IF($I178="","",IF(INDEX(Accounts!$R$12:$R$311,MATCH($I178,Accounts!$T$12:$T$311,0))="Check inputs","—",INDEX(Accounts!$N$12:$N$311,MATCH($I178,Accounts!$T$12:$T$311,0))))</f>
        <v/>
      </c>
      <c r="E178" s="31" t="str">
        <f aca="false">IF($I178="","",IF(INDEX(Accounts!$R$12:$R$311,MATCH($I178,Accounts!$T$12:$T$311,0))="Check inputs","—",INDEX(Accounts!$O$12:$O$311,MATCH($I178,Accounts!$T$12:$T$311,0))))</f>
        <v/>
      </c>
      <c r="F178" s="30" t="str">
        <f aca="false">IF($I178="","",IF(INDEX(Accounts!$R$12:$R$311,MATCH($I178,Accounts!$T$12:$T$311,0))="Check inputs","—",INDEX(Accounts!$P$12:$P$311,MATCH($I178,Accounts!$T$12:$T$311,0))))</f>
        <v/>
      </c>
      <c r="G178" s="30" t="str">
        <f aca="false">IF($I178="","",IF(INDEX(Accounts!$R$12:$R$311,MATCH($I178,Accounts!$T$12:$T$311,0))="Check inputs","—",INDEX(Accounts!$Q$12:$Q$311,MATCH($I178,Accounts!$T$12:$T$311,0))))</f>
        <v/>
      </c>
      <c r="H178" s="32" t="str">
        <f aca="false">IF($I178="","",IF(INDEX(Accounts!$R$12:$R$311,MATCH($I178,Accounts!$T$12:$T$311,0))="Check inputs","Check inputs: "&amp;INDEX(Accounts!$S$12:$S$311,MATCH($I178,Accounts!$T$12:$T$311,0)),INDEX(Accounts!$R$12:$R$311,MATCH($I178,Accounts!$T$12:$T$311,0))))</f>
        <v/>
      </c>
      <c r="I178" s="33" t="str">
        <f aca="false">IF(170&gt;COUNT(Accounts!$T$12:$T$311),"",SMALL(Accounts!$T$12:$T$311,170))</f>
        <v/>
      </c>
    </row>
    <row r="179" customFormat="false" ht="15" hidden="false" customHeight="false" outlineLevel="0" collapsed="false">
      <c r="A179" s="22" t="str">
        <f aca="false">IF($I179="","",INDEX(Accounts!$A$12:$A$311,MATCH($I179,Accounts!$T$12:$T$311,0))&amp;"")</f>
        <v/>
      </c>
      <c r="B179" s="30" t="str">
        <f aca="false">IF($I179="","",IF(INDEX(Accounts!$R$12:$R$311,MATCH($I179,Accounts!$T$12:$T$311,0))="Check inputs","—",INDEX(Accounts!$B$12:$B$311,MATCH($I179,Accounts!$T$12:$T$311,0))))</f>
        <v/>
      </c>
      <c r="C179" s="30" t="str">
        <f aca="false">IF($I179="","",IF(INDEX(Accounts!$R$12:$R$311,MATCH($I179,Accounts!$T$12:$T$311,0))="Check inputs","—",INDEX(Accounts!$M$12:$M$311,MATCH($I179,Accounts!$T$12:$T$311,0))))</f>
        <v/>
      </c>
      <c r="D179" s="30" t="str">
        <f aca="false">IF($I179="","",IF(INDEX(Accounts!$R$12:$R$311,MATCH($I179,Accounts!$T$12:$T$311,0))="Check inputs","—",INDEX(Accounts!$N$12:$N$311,MATCH($I179,Accounts!$T$12:$T$311,0))))</f>
        <v/>
      </c>
      <c r="E179" s="31" t="str">
        <f aca="false">IF($I179="","",IF(INDEX(Accounts!$R$12:$R$311,MATCH($I179,Accounts!$T$12:$T$311,0))="Check inputs","—",INDEX(Accounts!$O$12:$O$311,MATCH($I179,Accounts!$T$12:$T$311,0))))</f>
        <v/>
      </c>
      <c r="F179" s="30" t="str">
        <f aca="false">IF($I179="","",IF(INDEX(Accounts!$R$12:$R$311,MATCH($I179,Accounts!$T$12:$T$311,0))="Check inputs","—",INDEX(Accounts!$P$12:$P$311,MATCH($I179,Accounts!$T$12:$T$311,0))))</f>
        <v/>
      </c>
      <c r="G179" s="30" t="str">
        <f aca="false">IF($I179="","",IF(INDEX(Accounts!$R$12:$R$311,MATCH($I179,Accounts!$T$12:$T$311,0))="Check inputs","—",INDEX(Accounts!$Q$12:$Q$311,MATCH($I179,Accounts!$T$12:$T$311,0))))</f>
        <v/>
      </c>
      <c r="H179" s="32" t="str">
        <f aca="false">IF($I179="","",IF(INDEX(Accounts!$R$12:$R$311,MATCH($I179,Accounts!$T$12:$T$311,0))="Check inputs","Check inputs: "&amp;INDEX(Accounts!$S$12:$S$311,MATCH($I179,Accounts!$T$12:$T$311,0)),INDEX(Accounts!$R$12:$R$311,MATCH($I179,Accounts!$T$12:$T$311,0))))</f>
        <v/>
      </c>
      <c r="I179" s="33" t="str">
        <f aca="false">IF(171&gt;COUNT(Accounts!$T$12:$T$311),"",SMALL(Accounts!$T$12:$T$311,171))</f>
        <v/>
      </c>
    </row>
    <row r="180" customFormat="false" ht="15" hidden="false" customHeight="false" outlineLevel="0" collapsed="false">
      <c r="A180" s="22" t="str">
        <f aca="false">IF($I180="","",INDEX(Accounts!$A$12:$A$311,MATCH($I180,Accounts!$T$12:$T$311,0))&amp;"")</f>
        <v/>
      </c>
      <c r="B180" s="30" t="str">
        <f aca="false">IF($I180="","",IF(INDEX(Accounts!$R$12:$R$311,MATCH($I180,Accounts!$T$12:$T$311,0))="Check inputs","—",INDEX(Accounts!$B$12:$B$311,MATCH($I180,Accounts!$T$12:$T$311,0))))</f>
        <v/>
      </c>
      <c r="C180" s="30" t="str">
        <f aca="false">IF($I180="","",IF(INDEX(Accounts!$R$12:$R$311,MATCH($I180,Accounts!$T$12:$T$311,0))="Check inputs","—",INDEX(Accounts!$M$12:$M$311,MATCH($I180,Accounts!$T$12:$T$311,0))))</f>
        <v/>
      </c>
      <c r="D180" s="30" t="str">
        <f aca="false">IF($I180="","",IF(INDEX(Accounts!$R$12:$R$311,MATCH($I180,Accounts!$T$12:$T$311,0))="Check inputs","—",INDEX(Accounts!$N$12:$N$311,MATCH($I180,Accounts!$T$12:$T$311,0))))</f>
        <v/>
      </c>
      <c r="E180" s="31" t="str">
        <f aca="false">IF($I180="","",IF(INDEX(Accounts!$R$12:$R$311,MATCH($I180,Accounts!$T$12:$T$311,0))="Check inputs","—",INDEX(Accounts!$O$12:$O$311,MATCH($I180,Accounts!$T$12:$T$311,0))))</f>
        <v/>
      </c>
      <c r="F180" s="30" t="str">
        <f aca="false">IF($I180="","",IF(INDEX(Accounts!$R$12:$R$311,MATCH($I180,Accounts!$T$12:$T$311,0))="Check inputs","—",INDEX(Accounts!$P$12:$P$311,MATCH($I180,Accounts!$T$12:$T$311,0))))</f>
        <v/>
      </c>
      <c r="G180" s="30" t="str">
        <f aca="false">IF($I180="","",IF(INDEX(Accounts!$R$12:$R$311,MATCH($I180,Accounts!$T$12:$T$311,0))="Check inputs","—",INDEX(Accounts!$Q$12:$Q$311,MATCH($I180,Accounts!$T$12:$T$311,0))))</f>
        <v/>
      </c>
      <c r="H180" s="32" t="str">
        <f aca="false">IF($I180="","",IF(INDEX(Accounts!$R$12:$R$311,MATCH($I180,Accounts!$T$12:$T$311,0))="Check inputs","Check inputs: "&amp;INDEX(Accounts!$S$12:$S$311,MATCH($I180,Accounts!$T$12:$T$311,0)),INDEX(Accounts!$R$12:$R$311,MATCH($I180,Accounts!$T$12:$T$311,0))))</f>
        <v/>
      </c>
      <c r="I180" s="33" t="str">
        <f aca="false">IF(172&gt;COUNT(Accounts!$T$12:$T$311),"",SMALL(Accounts!$T$12:$T$311,172))</f>
        <v/>
      </c>
    </row>
    <row r="181" customFormat="false" ht="15" hidden="false" customHeight="false" outlineLevel="0" collapsed="false">
      <c r="A181" s="22" t="str">
        <f aca="false">IF($I181="","",INDEX(Accounts!$A$12:$A$311,MATCH($I181,Accounts!$T$12:$T$311,0))&amp;"")</f>
        <v/>
      </c>
      <c r="B181" s="30" t="str">
        <f aca="false">IF($I181="","",IF(INDEX(Accounts!$R$12:$R$311,MATCH($I181,Accounts!$T$12:$T$311,0))="Check inputs","—",INDEX(Accounts!$B$12:$B$311,MATCH($I181,Accounts!$T$12:$T$311,0))))</f>
        <v/>
      </c>
      <c r="C181" s="30" t="str">
        <f aca="false">IF($I181="","",IF(INDEX(Accounts!$R$12:$R$311,MATCH($I181,Accounts!$T$12:$T$311,0))="Check inputs","—",INDEX(Accounts!$M$12:$M$311,MATCH($I181,Accounts!$T$12:$T$311,0))))</f>
        <v/>
      </c>
      <c r="D181" s="30" t="str">
        <f aca="false">IF($I181="","",IF(INDEX(Accounts!$R$12:$R$311,MATCH($I181,Accounts!$T$12:$T$311,0))="Check inputs","—",INDEX(Accounts!$N$12:$N$311,MATCH($I181,Accounts!$T$12:$T$311,0))))</f>
        <v/>
      </c>
      <c r="E181" s="31" t="str">
        <f aca="false">IF($I181="","",IF(INDEX(Accounts!$R$12:$R$311,MATCH($I181,Accounts!$T$12:$T$311,0))="Check inputs","—",INDEX(Accounts!$O$12:$O$311,MATCH($I181,Accounts!$T$12:$T$311,0))))</f>
        <v/>
      </c>
      <c r="F181" s="30" t="str">
        <f aca="false">IF($I181="","",IF(INDEX(Accounts!$R$12:$R$311,MATCH($I181,Accounts!$T$12:$T$311,0))="Check inputs","—",INDEX(Accounts!$P$12:$P$311,MATCH($I181,Accounts!$T$12:$T$311,0))))</f>
        <v/>
      </c>
      <c r="G181" s="30" t="str">
        <f aca="false">IF($I181="","",IF(INDEX(Accounts!$R$12:$R$311,MATCH($I181,Accounts!$T$12:$T$311,0))="Check inputs","—",INDEX(Accounts!$Q$12:$Q$311,MATCH($I181,Accounts!$T$12:$T$311,0))))</f>
        <v/>
      </c>
      <c r="H181" s="32" t="str">
        <f aca="false">IF($I181="","",IF(INDEX(Accounts!$R$12:$R$311,MATCH($I181,Accounts!$T$12:$T$311,0))="Check inputs","Check inputs: "&amp;INDEX(Accounts!$S$12:$S$311,MATCH($I181,Accounts!$T$12:$T$311,0)),INDEX(Accounts!$R$12:$R$311,MATCH($I181,Accounts!$T$12:$T$311,0))))</f>
        <v/>
      </c>
      <c r="I181" s="33" t="str">
        <f aca="false">IF(173&gt;COUNT(Accounts!$T$12:$T$311),"",SMALL(Accounts!$T$12:$T$311,173))</f>
        <v/>
      </c>
    </row>
    <row r="182" customFormat="false" ht="15" hidden="false" customHeight="false" outlineLevel="0" collapsed="false">
      <c r="A182" s="22" t="str">
        <f aca="false">IF($I182="","",INDEX(Accounts!$A$12:$A$311,MATCH($I182,Accounts!$T$12:$T$311,0))&amp;"")</f>
        <v/>
      </c>
      <c r="B182" s="30" t="str">
        <f aca="false">IF($I182="","",IF(INDEX(Accounts!$R$12:$R$311,MATCH($I182,Accounts!$T$12:$T$311,0))="Check inputs","—",INDEX(Accounts!$B$12:$B$311,MATCH($I182,Accounts!$T$12:$T$311,0))))</f>
        <v/>
      </c>
      <c r="C182" s="30" t="str">
        <f aca="false">IF($I182="","",IF(INDEX(Accounts!$R$12:$R$311,MATCH($I182,Accounts!$T$12:$T$311,0))="Check inputs","—",INDEX(Accounts!$M$12:$M$311,MATCH($I182,Accounts!$T$12:$T$311,0))))</f>
        <v/>
      </c>
      <c r="D182" s="30" t="str">
        <f aca="false">IF($I182="","",IF(INDEX(Accounts!$R$12:$R$311,MATCH($I182,Accounts!$T$12:$T$311,0))="Check inputs","—",INDEX(Accounts!$N$12:$N$311,MATCH($I182,Accounts!$T$12:$T$311,0))))</f>
        <v/>
      </c>
      <c r="E182" s="31" t="str">
        <f aca="false">IF($I182="","",IF(INDEX(Accounts!$R$12:$R$311,MATCH($I182,Accounts!$T$12:$T$311,0))="Check inputs","—",INDEX(Accounts!$O$12:$O$311,MATCH($I182,Accounts!$T$12:$T$311,0))))</f>
        <v/>
      </c>
      <c r="F182" s="30" t="str">
        <f aca="false">IF($I182="","",IF(INDEX(Accounts!$R$12:$R$311,MATCH($I182,Accounts!$T$12:$T$311,0))="Check inputs","—",INDEX(Accounts!$P$12:$P$311,MATCH($I182,Accounts!$T$12:$T$311,0))))</f>
        <v/>
      </c>
      <c r="G182" s="30" t="str">
        <f aca="false">IF($I182="","",IF(INDEX(Accounts!$R$12:$R$311,MATCH($I182,Accounts!$T$12:$T$311,0))="Check inputs","—",INDEX(Accounts!$Q$12:$Q$311,MATCH($I182,Accounts!$T$12:$T$311,0))))</f>
        <v/>
      </c>
      <c r="H182" s="32" t="str">
        <f aca="false">IF($I182="","",IF(INDEX(Accounts!$R$12:$R$311,MATCH($I182,Accounts!$T$12:$T$311,0))="Check inputs","Check inputs: "&amp;INDEX(Accounts!$S$12:$S$311,MATCH($I182,Accounts!$T$12:$T$311,0)),INDEX(Accounts!$R$12:$R$311,MATCH($I182,Accounts!$T$12:$T$311,0))))</f>
        <v/>
      </c>
      <c r="I182" s="33" t="str">
        <f aca="false">IF(174&gt;COUNT(Accounts!$T$12:$T$311),"",SMALL(Accounts!$T$12:$T$311,174))</f>
        <v/>
      </c>
    </row>
    <row r="183" customFormat="false" ht="15" hidden="false" customHeight="false" outlineLevel="0" collapsed="false">
      <c r="A183" s="22" t="str">
        <f aca="false">IF($I183="","",INDEX(Accounts!$A$12:$A$311,MATCH($I183,Accounts!$T$12:$T$311,0))&amp;"")</f>
        <v/>
      </c>
      <c r="B183" s="30" t="str">
        <f aca="false">IF($I183="","",IF(INDEX(Accounts!$R$12:$R$311,MATCH($I183,Accounts!$T$12:$T$311,0))="Check inputs","—",INDEX(Accounts!$B$12:$B$311,MATCH($I183,Accounts!$T$12:$T$311,0))))</f>
        <v/>
      </c>
      <c r="C183" s="30" t="str">
        <f aca="false">IF($I183="","",IF(INDEX(Accounts!$R$12:$R$311,MATCH($I183,Accounts!$T$12:$T$311,0))="Check inputs","—",INDEX(Accounts!$M$12:$M$311,MATCH($I183,Accounts!$T$12:$T$311,0))))</f>
        <v/>
      </c>
      <c r="D183" s="30" t="str">
        <f aca="false">IF($I183="","",IF(INDEX(Accounts!$R$12:$R$311,MATCH($I183,Accounts!$T$12:$T$311,0))="Check inputs","—",INDEX(Accounts!$N$12:$N$311,MATCH($I183,Accounts!$T$12:$T$311,0))))</f>
        <v/>
      </c>
      <c r="E183" s="31" t="str">
        <f aca="false">IF($I183="","",IF(INDEX(Accounts!$R$12:$R$311,MATCH($I183,Accounts!$T$12:$T$311,0))="Check inputs","—",INDEX(Accounts!$O$12:$O$311,MATCH($I183,Accounts!$T$12:$T$311,0))))</f>
        <v/>
      </c>
      <c r="F183" s="30" t="str">
        <f aca="false">IF($I183="","",IF(INDEX(Accounts!$R$12:$R$311,MATCH($I183,Accounts!$T$12:$T$311,0))="Check inputs","—",INDEX(Accounts!$P$12:$P$311,MATCH($I183,Accounts!$T$12:$T$311,0))))</f>
        <v/>
      </c>
      <c r="G183" s="30" t="str">
        <f aca="false">IF($I183="","",IF(INDEX(Accounts!$R$12:$R$311,MATCH($I183,Accounts!$T$12:$T$311,0))="Check inputs","—",INDEX(Accounts!$Q$12:$Q$311,MATCH($I183,Accounts!$T$12:$T$311,0))))</f>
        <v/>
      </c>
      <c r="H183" s="32" t="str">
        <f aca="false">IF($I183="","",IF(INDEX(Accounts!$R$12:$R$311,MATCH($I183,Accounts!$T$12:$T$311,0))="Check inputs","Check inputs: "&amp;INDEX(Accounts!$S$12:$S$311,MATCH($I183,Accounts!$T$12:$T$311,0)),INDEX(Accounts!$R$12:$R$311,MATCH($I183,Accounts!$T$12:$T$311,0))))</f>
        <v/>
      </c>
      <c r="I183" s="33" t="str">
        <f aca="false">IF(175&gt;COUNT(Accounts!$T$12:$T$311),"",SMALL(Accounts!$T$12:$T$311,175))</f>
        <v/>
      </c>
    </row>
    <row r="184" customFormat="false" ht="15" hidden="false" customHeight="false" outlineLevel="0" collapsed="false">
      <c r="A184" s="22" t="str">
        <f aca="false">IF($I184="","",INDEX(Accounts!$A$12:$A$311,MATCH($I184,Accounts!$T$12:$T$311,0))&amp;"")</f>
        <v/>
      </c>
      <c r="B184" s="30" t="str">
        <f aca="false">IF($I184="","",IF(INDEX(Accounts!$R$12:$R$311,MATCH($I184,Accounts!$T$12:$T$311,0))="Check inputs","—",INDEX(Accounts!$B$12:$B$311,MATCH($I184,Accounts!$T$12:$T$311,0))))</f>
        <v/>
      </c>
      <c r="C184" s="30" t="str">
        <f aca="false">IF($I184="","",IF(INDEX(Accounts!$R$12:$R$311,MATCH($I184,Accounts!$T$12:$T$311,0))="Check inputs","—",INDEX(Accounts!$M$12:$M$311,MATCH($I184,Accounts!$T$12:$T$311,0))))</f>
        <v/>
      </c>
      <c r="D184" s="30" t="str">
        <f aca="false">IF($I184="","",IF(INDEX(Accounts!$R$12:$R$311,MATCH($I184,Accounts!$T$12:$T$311,0))="Check inputs","—",INDEX(Accounts!$N$12:$N$311,MATCH($I184,Accounts!$T$12:$T$311,0))))</f>
        <v/>
      </c>
      <c r="E184" s="31" t="str">
        <f aca="false">IF($I184="","",IF(INDEX(Accounts!$R$12:$R$311,MATCH($I184,Accounts!$T$12:$T$311,0))="Check inputs","—",INDEX(Accounts!$O$12:$O$311,MATCH($I184,Accounts!$T$12:$T$311,0))))</f>
        <v/>
      </c>
      <c r="F184" s="30" t="str">
        <f aca="false">IF($I184="","",IF(INDEX(Accounts!$R$12:$R$311,MATCH($I184,Accounts!$T$12:$T$311,0))="Check inputs","—",INDEX(Accounts!$P$12:$P$311,MATCH($I184,Accounts!$T$12:$T$311,0))))</f>
        <v/>
      </c>
      <c r="G184" s="30" t="str">
        <f aca="false">IF($I184="","",IF(INDEX(Accounts!$R$12:$R$311,MATCH($I184,Accounts!$T$12:$T$311,0))="Check inputs","—",INDEX(Accounts!$Q$12:$Q$311,MATCH($I184,Accounts!$T$12:$T$311,0))))</f>
        <v/>
      </c>
      <c r="H184" s="32" t="str">
        <f aca="false">IF($I184="","",IF(INDEX(Accounts!$R$12:$R$311,MATCH($I184,Accounts!$T$12:$T$311,0))="Check inputs","Check inputs: "&amp;INDEX(Accounts!$S$12:$S$311,MATCH($I184,Accounts!$T$12:$T$311,0)),INDEX(Accounts!$R$12:$R$311,MATCH($I184,Accounts!$T$12:$T$311,0))))</f>
        <v/>
      </c>
      <c r="I184" s="33" t="str">
        <f aca="false">IF(176&gt;COUNT(Accounts!$T$12:$T$311),"",SMALL(Accounts!$T$12:$T$311,176))</f>
        <v/>
      </c>
    </row>
    <row r="185" customFormat="false" ht="15" hidden="false" customHeight="false" outlineLevel="0" collapsed="false">
      <c r="A185" s="22" t="str">
        <f aca="false">IF($I185="","",INDEX(Accounts!$A$12:$A$311,MATCH($I185,Accounts!$T$12:$T$311,0))&amp;"")</f>
        <v/>
      </c>
      <c r="B185" s="30" t="str">
        <f aca="false">IF($I185="","",IF(INDEX(Accounts!$R$12:$R$311,MATCH($I185,Accounts!$T$12:$T$311,0))="Check inputs","—",INDEX(Accounts!$B$12:$B$311,MATCH($I185,Accounts!$T$12:$T$311,0))))</f>
        <v/>
      </c>
      <c r="C185" s="30" t="str">
        <f aca="false">IF($I185="","",IF(INDEX(Accounts!$R$12:$R$311,MATCH($I185,Accounts!$T$12:$T$311,0))="Check inputs","—",INDEX(Accounts!$M$12:$M$311,MATCH($I185,Accounts!$T$12:$T$311,0))))</f>
        <v/>
      </c>
      <c r="D185" s="30" t="str">
        <f aca="false">IF($I185="","",IF(INDEX(Accounts!$R$12:$R$311,MATCH($I185,Accounts!$T$12:$T$311,0))="Check inputs","—",INDEX(Accounts!$N$12:$N$311,MATCH($I185,Accounts!$T$12:$T$311,0))))</f>
        <v/>
      </c>
      <c r="E185" s="31" t="str">
        <f aca="false">IF($I185="","",IF(INDEX(Accounts!$R$12:$R$311,MATCH($I185,Accounts!$T$12:$T$311,0))="Check inputs","—",INDEX(Accounts!$O$12:$O$311,MATCH($I185,Accounts!$T$12:$T$311,0))))</f>
        <v/>
      </c>
      <c r="F185" s="30" t="str">
        <f aca="false">IF($I185="","",IF(INDEX(Accounts!$R$12:$R$311,MATCH($I185,Accounts!$T$12:$T$311,0))="Check inputs","—",INDEX(Accounts!$P$12:$P$311,MATCH($I185,Accounts!$T$12:$T$311,0))))</f>
        <v/>
      </c>
      <c r="G185" s="30" t="str">
        <f aca="false">IF($I185="","",IF(INDEX(Accounts!$R$12:$R$311,MATCH($I185,Accounts!$T$12:$T$311,0))="Check inputs","—",INDEX(Accounts!$Q$12:$Q$311,MATCH($I185,Accounts!$T$12:$T$311,0))))</f>
        <v/>
      </c>
      <c r="H185" s="32" t="str">
        <f aca="false">IF($I185="","",IF(INDEX(Accounts!$R$12:$R$311,MATCH($I185,Accounts!$T$12:$T$311,0))="Check inputs","Check inputs: "&amp;INDEX(Accounts!$S$12:$S$311,MATCH($I185,Accounts!$T$12:$T$311,0)),INDEX(Accounts!$R$12:$R$311,MATCH($I185,Accounts!$T$12:$T$311,0))))</f>
        <v/>
      </c>
      <c r="I185" s="33" t="str">
        <f aca="false">IF(177&gt;COUNT(Accounts!$T$12:$T$311),"",SMALL(Accounts!$T$12:$T$311,177))</f>
        <v/>
      </c>
    </row>
    <row r="186" customFormat="false" ht="15" hidden="false" customHeight="false" outlineLevel="0" collapsed="false">
      <c r="A186" s="22" t="str">
        <f aca="false">IF($I186="","",INDEX(Accounts!$A$12:$A$311,MATCH($I186,Accounts!$T$12:$T$311,0))&amp;"")</f>
        <v/>
      </c>
      <c r="B186" s="30" t="str">
        <f aca="false">IF($I186="","",IF(INDEX(Accounts!$R$12:$R$311,MATCH($I186,Accounts!$T$12:$T$311,0))="Check inputs","—",INDEX(Accounts!$B$12:$B$311,MATCH($I186,Accounts!$T$12:$T$311,0))))</f>
        <v/>
      </c>
      <c r="C186" s="30" t="str">
        <f aca="false">IF($I186="","",IF(INDEX(Accounts!$R$12:$R$311,MATCH($I186,Accounts!$T$12:$T$311,0))="Check inputs","—",INDEX(Accounts!$M$12:$M$311,MATCH($I186,Accounts!$T$12:$T$311,0))))</f>
        <v/>
      </c>
      <c r="D186" s="30" t="str">
        <f aca="false">IF($I186="","",IF(INDEX(Accounts!$R$12:$R$311,MATCH($I186,Accounts!$T$12:$T$311,0))="Check inputs","—",INDEX(Accounts!$N$12:$N$311,MATCH($I186,Accounts!$T$12:$T$311,0))))</f>
        <v/>
      </c>
      <c r="E186" s="31" t="str">
        <f aca="false">IF($I186="","",IF(INDEX(Accounts!$R$12:$R$311,MATCH($I186,Accounts!$T$12:$T$311,0))="Check inputs","—",INDEX(Accounts!$O$12:$O$311,MATCH($I186,Accounts!$T$12:$T$311,0))))</f>
        <v/>
      </c>
      <c r="F186" s="30" t="str">
        <f aca="false">IF($I186="","",IF(INDEX(Accounts!$R$12:$R$311,MATCH($I186,Accounts!$T$12:$T$311,0))="Check inputs","—",INDEX(Accounts!$P$12:$P$311,MATCH($I186,Accounts!$T$12:$T$311,0))))</f>
        <v/>
      </c>
      <c r="G186" s="30" t="str">
        <f aca="false">IF($I186="","",IF(INDEX(Accounts!$R$12:$R$311,MATCH($I186,Accounts!$T$12:$T$311,0))="Check inputs","—",INDEX(Accounts!$Q$12:$Q$311,MATCH($I186,Accounts!$T$12:$T$311,0))))</f>
        <v/>
      </c>
      <c r="H186" s="32" t="str">
        <f aca="false">IF($I186="","",IF(INDEX(Accounts!$R$12:$R$311,MATCH($I186,Accounts!$T$12:$T$311,0))="Check inputs","Check inputs: "&amp;INDEX(Accounts!$S$12:$S$311,MATCH($I186,Accounts!$T$12:$T$311,0)),INDEX(Accounts!$R$12:$R$311,MATCH($I186,Accounts!$T$12:$T$311,0))))</f>
        <v/>
      </c>
      <c r="I186" s="33" t="str">
        <f aca="false">IF(178&gt;COUNT(Accounts!$T$12:$T$311),"",SMALL(Accounts!$T$12:$T$311,178))</f>
        <v/>
      </c>
    </row>
    <row r="187" customFormat="false" ht="15" hidden="false" customHeight="false" outlineLevel="0" collapsed="false">
      <c r="A187" s="22" t="str">
        <f aca="false">IF($I187="","",INDEX(Accounts!$A$12:$A$311,MATCH($I187,Accounts!$T$12:$T$311,0))&amp;"")</f>
        <v/>
      </c>
      <c r="B187" s="30" t="str">
        <f aca="false">IF($I187="","",IF(INDEX(Accounts!$R$12:$R$311,MATCH($I187,Accounts!$T$12:$T$311,0))="Check inputs","—",INDEX(Accounts!$B$12:$B$311,MATCH($I187,Accounts!$T$12:$T$311,0))))</f>
        <v/>
      </c>
      <c r="C187" s="30" t="str">
        <f aca="false">IF($I187="","",IF(INDEX(Accounts!$R$12:$R$311,MATCH($I187,Accounts!$T$12:$T$311,0))="Check inputs","—",INDEX(Accounts!$M$12:$M$311,MATCH($I187,Accounts!$T$12:$T$311,0))))</f>
        <v/>
      </c>
      <c r="D187" s="30" t="str">
        <f aca="false">IF($I187="","",IF(INDEX(Accounts!$R$12:$R$311,MATCH($I187,Accounts!$T$12:$T$311,0))="Check inputs","—",INDEX(Accounts!$N$12:$N$311,MATCH($I187,Accounts!$T$12:$T$311,0))))</f>
        <v/>
      </c>
      <c r="E187" s="31" t="str">
        <f aca="false">IF($I187="","",IF(INDEX(Accounts!$R$12:$R$311,MATCH($I187,Accounts!$T$12:$T$311,0))="Check inputs","—",INDEX(Accounts!$O$12:$O$311,MATCH($I187,Accounts!$T$12:$T$311,0))))</f>
        <v/>
      </c>
      <c r="F187" s="30" t="str">
        <f aca="false">IF($I187="","",IF(INDEX(Accounts!$R$12:$R$311,MATCH($I187,Accounts!$T$12:$T$311,0))="Check inputs","—",INDEX(Accounts!$P$12:$P$311,MATCH($I187,Accounts!$T$12:$T$311,0))))</f>
        <v/>
      </c>
      <c r="G187" s="30" t="str">
        <f aca="false">IF($I187="","",IF(INDEX(Accounts!$R$12:$R$311,MATCH($I187,Accounts!$T$12:$T$311,0))="Check inputs","—",INDEX(Accounts!$Q$12:$Q$311,MATCH($I187,Accounts!$T$12:$T$311,0))))</f>
        <v/>
      </c>
      <c r="H187" s="32" t="str">
        <f aca="false">IF($I187="","",IF(INDEX(Accounts!$R$12:$R$311,MATCH($I187,Accounts!$T$12:$T$311,0))="Check inputs","Check inputs: "&amp;INDEX(Accounts!$S$12:$S$311,MATCH($I187,Accounts!$T$12:$T$311,0)),INDEX(Accounts!$R$12:$R$311,MATCH($I187,Accounts!$T$12:$T$311,0))))</f>
        <v/>
      </c>
      <c r="I187" s="33" t="str">
        <f aca="false">IF(179&gt;COUNT(Accounts!$T$12:$T$311),"",SMALL(Accounts!$T$12:$T$311,179))</f>
        <v/>
      </c>
    </row>
    <row r="188" customFormat="false" ht="15" hidden="false" customHeight="false" outlineLevel="0" collapsed="false">
      <c r="A188" s="22" t="str">
        <f aca="false">IF($I188="","",INDEX(Accounts!$A$12:$A$311,MATCH($I188,Accounts!$T$12:$T$311,0))&amp;"")</f>
        <v/>
      </c>
      <c r="B188" s="30" t="str">
        <f aca="false">IF($I188="","",IF(INDEX(Accounts!$R$12:$R$311,MATCH($I188,Accounts!$T$12:$T$311,0))="Check inputs","—",INDEX(Accounts!$B$12:$B$311,MATCH($I188,Accounts!$T$12:$T$311,0))))</f>
        <v/>
      </c>
      <c r="C188" s="30" t="str">
        <f aca="false">IF($I188="","",IF(INDEX(Accounts!$R$12:$R$311,MATCH($I188,Accounts!$T$12:$T$311,0))="Check inputs","—",INDEX(Accounts!$M$12:$M$311,MATCH($I188,Accounts!$T$12:$T$311,0))))</f>
        <v/>
      </c>
      <c r="D188" s="30" t="str">
        <f aca="false">IF($I188="","",IF(INDEX(Accounts!$R$12:$R$311,MATCH($I188,Accounts!$T$12:$T$311,0))="Check inputs","—",INDEX(Accounts!$N$12:$N$311,MATCH($I188,Accounts!$T$12:$T$311,0))))</f>
        <v/>
      </c>
      <c r="E188" s="31" t="str">
        <f aca="false">IF($I188="","",IF(INDEX(Accounts!$R$12:$R$311,MATCH($I188,Accounts!$T$12:$T$311,0))="Check inputs","—",INDEX(Accounts!$O$12:$O$311,MATCH($I188,Accounts!$T$12:$T$311,0))))</f>
        <v/>
      </c>
      <c r="F188" s="30" t="str">
        <f aca="false">IF($I188="","",IF(INDEX(Accounts!$R$12:$R$311,MATCH($I188,Accounts!$T$12:$T$311,0))="Check inputs","—",INDEX(Accounts!$P$12:$P$311,MATCH($I188,Accounts!$T$12:$T$311,0))))</f>
        <v/>
      </c>
      <c r="G188" s="30" t="str">
        <f aca="false">IF($I188="","",IF(INDEX(Accounts!$R$12:$R$311,MATCH($I188,Accounts!$T$12:$T$311,0))="Check inputs","—",INDEX(Accounts!$Q$12:$Q$311,MATCH($I188,Accounts!$T$12:$T$311,0))))</f>
        <v/>
      </c>
      <c r="H188" s="32" t="str">
        <f aca="false">IF($I188="","",IF(INDEX(Accounts!$R$12:$R$311,MATCH($I188,Accounts!$T$12:$T$311,0))="Check inputs","Check inputs: "&amp;INDEX(Accounts!$S$12:$S$311,MATCH($I188,Accounts!$T$12:$T$311,0)),INDEX(Accounts!$R$12:$R$311,MATCH($I188,Accounts!$T$12:$T$311,0))))</f>
        <v/>
      </c>
      <c r="I188" s="33" t="str">
        <f aca="false">IF(180&gt;COUNT(Accounts!$T$12:$T$311),"",SMALL(Accounts!$T$12:$T$311,180))</f>
        <v/>
      </c>
    </row>
    <row r="189" customFormat="false" ht="15" hidden="false" customHeight="false" outlineLevel="0" collapsed="false">
      <c r="A189" s="22" t="str">
        <f aca="false">IF($I189="","",INDEX(Accounts!$A$12:$A$311,MATCH($I189,Accounts!$T$12:$T$311,0))&amp;"")</f>
        <v/>
      </c>
      <c r="B189" s="30" t="str">
        <f aca="false">IF($I189="","",IF(INDEX(Accounts!$R$12:$R$311,MATCH($I189,Accounts!$T$12:$T$311,0))="Check inputs","—",INDEX(Accounts!$B$12:$B$311,MATCH($I189,Accounts!$T$12:$T$311,0))))</f>
        <v/>
      </c>
      <c r="C189" s="30" t="str">
        <f aca="false">IF($I189="","",IF(INDEX(Accounts!$R$12:$R$311,MATCH($I189,Accounts!$T$12:$T$311,0))="Check inputs","—",INDEX(Accounts!$M$12:$M$311,MATCH($I189,Accounts!$T$12:$T$311,0))))</f>
        <v/>
      </c>
      <c r="D189" s="30" t="str">
        <f aca="false">IF($I189="","",IF(INDEX(Accounts!$R$12:$R$311,MATCH($I189,Accounts!$T$12:$T$311,0))="Check inputs","—",INDEX(Accounts!$N$12:$N$311,MATCH($I189,Accounts!$T$12:$T$311,0))))</f>
        <v/>
      </c>
      <c r="E189" s="31" t="str">
        <f aca="false">IF($I189="","",IF(INDEX(Accounts!$R$12:$R$311,MATCH($I189,Accounts!$T$12:$T$311,0))="Check inputs","—",INDEX(Accounts!$O$12:$O$311,MATCH($I189,Accounts!$T$12:$T$311,0))))</f>
        <v/>
      </c>
      <c r="F189" s="30" t="str">
        <f aca="false">IF($I189="","",IF(INDEX(Accounts!$R$12:$R$311,MATCH($I189,Accounts!$T$12:$T$311,0))="Check inputs","—",INDEX(Accounts!$P$12:$P$311,MATCH($I189,Accounts!$T$12:$T$311,0))))</f>
        <v/>
      </c>
      <c r="G189" s="30" t="str">
        <f aca="false">IF($I189="","",IF(INDEX(Accounts!$R$12:$R$311,MATCH($I189,Accounts!$T$12:$T$311,0))="Check inputs","—",INDEX(Accounts!$Q$12:$Q$311,MATCH($I189,Accounts!$T$12:$T$311,0))))</f>
        <v/>
      </c>
      <c r="H189" s="32" t="str">
        <f aca="false">IF($I189="","",IF(INDEX(Accounts!$R$12:$R$311,MATCH($I189,Accounts!$T$12:$T$311,0))="Check inputs","Check inputs: "&amp;INDEX(Accounts!$S$12:$S$311,MATCH($I189,Accounts!$T$12:$T$311,0)),INDEX(Accounts!$R$12:$R$311,MATCH($I189,Accounts!$T$12:$T$311,0))))</f>
        <v/>
      </c>
      <c r="I189" s="33" t="str">
        <f aca="false">IF(181&gt;COUNT(Accounts!$T$12:$T$311),"",SMALL(Accounts!$T$12:$T$311,181))</f>
        <v/>
      </c>
    </row>
    <row r="190" customFormat="false" ht="15" hidden="false" customHeight="false" outlineLevel="0" collapsed="false">
      <c r="A190" s="22" t="str">
        <f aca="false">IF($I190="","",INDEX(Accounts!$A$12:$A$311,MATCH($I190,Accounts!$T$12:$T$311,0))&amp;"")</f>
        <v/>
      </c>
      <c r="B190" s="30" t="str">
        <f aca="false">IF($I190="","",IF(INDEX(Accounts!$R$12:$R$311,MATCH($I190,Accounts!$T$12:$T$311,0))="Check inputs","—",INDEX(Accounts!$B$12:$B$311,MATCH($I190,Accounts!$T$12:$T$311,0))))</f>
        <v/>
      </c>
      <c r="C190" s="30" t="str">
        <f aca="false">IF($I190="","",IF(INDEX(Accounts!$R$12:$R$311,MATCH($I190,Accounts!$T$12:$T$311,0))="Check inputs","—",INDEX(Accounts!$M$12:$M$311,MATCH($I190,Accounts!$T$12:$T$311,0))))</f>
        <v/>
      </c>
      <c r="D190" s="30" t="str">
        <f aca="false">IF($I190="","",IF(INDEX(Accounts!$R$12:$R$311,MATCH($I190,Accounts!$T$12:$T$311,0))="Check inputs","—",INDEX(Accounts!$N$12:$N$311,MATCH($I190,Accounts!$T$12:$T$311,0))))</f>
        <v/>
      </c>
      <c r="E190" s="31" t="str">
        <f aca="false">IF($I190="","",IF(INDEX(Accounts!$R$12:$R$311,MATCH($I190,Accounts!$T$12:$T$311,0))="Check inputs","—",INDEX(Accounts!$O$12:$O$311,MATCH($I190,Accounts!$T$12:$T$311,0))))</f>
        <v/>
      </c>
      <c r="F190" s="30" t="str">
        <f aca="false">IF($I190="","",IF(INDEX(Accounts!$R$12:$R$311,MATCH($I190,Accounts!$T$12:$T$311,0))="Check inputs","—",INDEX(Accounts!$P$12:$P$311,MATCH($I190,Accounts!$T$12:$T$311,0))))</f>
        <v/>
      </c>
      <c r="G190" s="30" t="str">
        <f aca="false">IF($I190="","",IF(INDEX(Accounts!$R$12:$R$311,MATCH($I190,Accounts!$T$12:$T$311,0))="Check inputs","—",INDEX(Accounts!$Q$12:$Q$311,MATCH($I190,Accounts!$T$12:$T$311,0))))</f>
        <v/>
      </c>
      <c r="H190" s="32" t="str">
        <f aca="false">IF($I190="","",IF(INDEX(Accounts!$R$12:$R$311,MATCH($I190,Accounts!$T$12:$T$311,0))="Check inputs","Check inputs: "&amp;INDEX(Accounts!$S$12:$S$311,MATCH($I190,Accounts!$T$12:$T$311,0)),INDEX(Accounts!$R$12:$R$311,MATCH($I190,Accounts!$T$12:$T$311,0))))</f>
        <v/>
      </c>
      <c r="I190" s="33" t="str">
        <f aca="false">IF(182&gt;COUNT(Accounts!$T$12:$T$311),"",SMALL(Accounts!$T$12:$T$311,182))</f>
        <v/>
      </c>
    </row>
    <row r="191" customFormat="false" ht="15" hidden="false" customHeight="false" outlineLevel="0" collapsed="false">
      <c r="A191" s="22" t="str">
        <f aca="false">IF($I191="","",INDEX(Accounts!$A$12:$A$311,MATCH($I191,Accounts!$T$12:$T$311,0))&amp;"")</f>
        <v/>
      </c>
      <c r="B191" s="30" t="str">
        <f aca="false">IF($I191="","",IF(INDEX(Accounts!$R$12:$R$311,MATCH($I191,Accounts!$T$12:$T$311,0))="Check inputs","—",INDEX(Accounts!$B$12:$B$311,MATCH($I191,Accounts!$T$12:$T$311,0))))</f>
        <v/>
      </c>
      <c r="C191" s="30" t="str">
        <f aca="false">IF($I191="","",IF(INDEX(Accounts!$R$12:$R$311,MATCH($I191,Accounts!$T$12:$T$311,0))="Check inputs","—",INDEX(Accounts!$M$12:$M$311,MATCH($I191,Accounts!$T$12:$T$311,0))))</f>
        <v/>
      </c>
      <c r="D191" s="30" t="str">
        <f aca="false">IF($I191="","",IF(INDEX(Accounts!$R$12:$R$311,MATCH($I191,Accounts!$T$12:$T$311,0))="Check inputs","—",INDEX(Accounts!$N$12:$N$311,MATCH($I191,Accounts!$T$12:$T$311,0))))</f>
        <v/>
      </c>
      <c r="E191" s="31" t="str">
        <f aca="false">IF($I191="","",IF(INDEX(Accounts!$R$12:$R$311,MATCH($I191,Accounts!$T$12:$T$311,0))="Check inputs","—",INDEX(Accounts!$O$12:$O$311,MATCH($I191,Accounts!$T$12:$T$311,0))))</f>
        <v/>
      </c>
      <c r="F191" s="30" t="str">
        <f aca="false">IF($I191="","",IF(INDEX(Accounts!$R$12:$R$311,MATCH($I191,Accounts!$T$12:$T$311,0))="Check inputs","—",INDEX(Accounts!$P$12:$P$311,MATCH($I191,Accounts!$T$12:$T$311,0))))</f>
        <v/>
      </c>
      <c r="G191" s="30" t="str">
        <f aca="false">IF($I191="","",IF(INDEX(Accounts!$R$12:$R$311,MATCH($I191,Accounts!$T$12:$T$311,0))="Check inputs","—",INDEX(Accounts!$Q$12:$Q$311,MATCH($I191,Accounts!$T$12:$T$311,0))))</f>
        <v/>
      </c>
      <c r="H191" s="32" t="str">
        <f aca="false">IF($I191="","",IF(INDEX(Accounts!$R$12:$R$311,MATCH($I191,Accounts!$T$12:$T$311,0))="Check inputs","Check inputs: "&amp;INDEX(Accounts!$S$12:$S$311,MATCH($I191,Accounts!$T$12:$T$311,0)),INDEX(Accounts!$R$12:$R$311,MATCH($I191,Accounts!$T$12:$T$311,0))))</f>
        <v/>
      </c>
      <c r="I191" s="33" t="str">
        <f aca="false">IF(183&gt;COUNT(Accounts!$T$12:$T$311),"",SMALL(Accounts!$T$12:$T$311,183))</f>
        <v/>
      </c>
    </row>
    <row r="192" customFormat="false" ht="15" hidden="false" customHeight="false" outlineLevel="0" collapsed="false">
      <c r="A192" s="22" t="str">
        <f aca="false">IF($I192="","",INDEX(Accounts!$A$12:$A$311,MATCH($I192,Accounts!$T$12:$T$311,0))&amp;"")</f>
        <v/>
      </c>
      <c r="B192" s="30" t="str">
        <f aca="false">IF($I192="","",IF(INDEX(Accounts!$R$12:$R$311,MATCH($I192,Accounts!$T$12:$T$311,0))="Check inputs","—",INDEX(Accounts!$B$12:$B$311,MATCH($I192,Accounts!$T$12:$T$311,0))))</f>
        <v/>
      </c>
      <c r="C192" s="30" t="str">
        <f aca="false">IF($I192="","",IF(INDEX(Accounts!$R$12:$R$311,MATCH($I192,Accounts!$T$12:$T$311,0))="Check inputs","—",INDEX(Accounts!$M$12:$M$311,MATCH($I192,Accounts!$T$12:$T$311,0))))</f>
        <v/>
      </c>
      <c r="D192" s="30" t="str">
        <f aca="false">IF($I192="","",IF(INDEX(Accounts!$R$12:$R$311,MATCH($I192,Accounts!$T$12:$T$311,0))="Check inputs","—",INDEX(Accounts!$N$12:$N$311,MATCH($I192,Accounts!$T$12:$T$311,0))))</f>
        <v/>
      </c>
      <c r="E192" s="31" t="str">
        <f aca="false">IF($I192="","",IF(INDEX(Accounts!$R$12:$R$311,MATCH($I192,Accounts!$T$12:$T$311,0))="Check inputs","—",INDEX(Accounts!$O$12:$O$311,MATCH($I192,Accounts!$T$12:$T$311,0))))</f>
        <v/>
      </c>
      <c r="F192" s="30" t="str">
        <f aca="false">IF($I192="","",IF(INDEX(Accounts!$R$12:$R$311,MATCH($I192,Accounts!$T$12:$T$311,0))="Check inputs","—",INDEX(Accounts!$P$12:$P$311,MATCH($I192,Accounts!$T$12:$T$311,0))))</f>
        <v/>
      </c>
      <c r="G192" s="30" t="str">
        <f aca="false">IF($I192="","",IF(INDEX(Accounts!$R$12:$R$311,MATCH($I192,Accounts!$T$12:$T$311,0))="Check inputs","—",INDEX(Accounts!$Q$12:$Q$311,MATCH($I192,Accounts!$T$12:$T$311,0))))</f>
        <v/>
      </c>
      <c r="H192" s="32" t="str">
        <f aca="false">IF($I192="","",IF(INDEX(Accounts!$R$12:$R$311,MATCH($I192,Accounts!$T$12:$T$311,0))="Check inputs","Check inputs: "&amp;INDEX(Accounts!$S$12:$S$311,MATCH($I192,Accounts!$T$12:$T$311,0)),INDEX(Accounts!$R$12:$R$311,MATCH($I192,Accounts!$T$12:$T$311,0))))</f>
        <v/>
      </c>
      <c r="I192" s="33" t="str">
        <f aca="false">IF(184&gt;COUNT(Accounts!$T$12:$T$311),"",SMALL(Accounts!$T$12:$T$311,184))</f>
        <v/>
      </c>
    </row>
    <row r="193" customFormat="false" ht="15" hidden="false" customHeight="false" outlineLevel="0" collapsed="false">
      <c r="A193" s="22" t="str">
        <f aca="false">IF($I193="","",INDEX(Accounts!$A$12:$A$311,MATCH($I193,Accounts!$T$12:$T$311,0))&amp;"")</f>
        <v/>
      </c>
      <c r="B193" s="30" t="str">
        <f aca="false">IF($I193="","",IF(INDEX(Accounts!$R$12:$R$311,MATCH($I193,Accounts!$T$12:$T$311,0))="Check inputs","—",INDEX(Accounts!$B$12:$B$311,MATCH($I193,Accounts!$T$12:$T$311,0))))</f>
        <v/>
      </c>
      <c r="C193" s="30" t="str">
        <f aca="false">IF($I193="","",IF(INDEX(Accounts!$R$12:$R$311,MATCH($I193,Accounts!$T$12:$T$311,0))="Check inputs","—",INDEX(Accounts!$M$12:$M$311,MATCH($I193,Accounts!$T$12:$T$311,0))))</f>
        <v/>
      </c>
      <c r="D193" s="30" t="str">
        <f aca="false">IF($I193="","",IF(INDEX(Accounts!$R$12:$R$311,MATCH($I193,Accounts!$T$12:$T$311,0))="Check inputs","—",INDEX(Accounts!$N$12:$N$311,MATCH($I193,Accounts!$T$12:$T$311,0))))</f>
        <v/>
      </c>
      <c r="E193" s="31" t="str">
        <f aca="false">IF($I193="","",IF(INDEX(Accounts!$R$12:$R$311,MATCH($I193,Accounts!$T$12:$T$311,0))="Check inputs","—",INDEX(Accounts!$O$12:$O$311,MATCH($I193,Accounts!$T$12:$T$311,0))))</f>
        <v/>
      </c>
      <c r="F193" s="30" t="str">
        <f aca="false">IF($I193="","",IF(INDEX(Accounts!$R$12:$R$311,MATCH($I193,Accounts!$T$12:$T$311,0))="Check inputs","—",INDEX(Accounts!$P$12:$P$311,MATCH($I193,Accounts!$T$12:$T$311,0))))</f>
        <v/>
      </c>
      <c r="G193" s="30" t="str">
        <f aca="false">IF($I193="","",IF(INDEX(Accounts!$R$12:$R$311,MATCH($I193,Accounts!$T$12:$T$311,0))="Check inputs","—",INDEX(Accounts!$Q$12:$Q$311,MATCH($I193,Accounts!$T$12:$T$311,0))))</f>
        <v/>
      </c>
      <c r="H193" s="32" t="str">
        <f aca="false">IF($I193="","",IF(INDEX(Accounts!$R$12:$R$311,MATCH($I193,Accounts!$T$12:$T$311,0))="Check inputs","Check inputs: "&amp;INDEX(Accounts!$S$12:$S$311,MATCH($I193,Accounts!$T$12:$T$311,0)),INDEX(Accounts!$R$12:$R$311,MATCH($I193,Accounts!$T$12:$T$311,0))))</f>
        <v/>
      </c>
      <c r="I193" s="33" t="str">
        <f aca="false">IF(185&gt;COUNT(Accounts!$T$12:$T$311),"",SMALL(Accounts!$T$12:$T$311,185))</f>
        <v/>
      </c>
    </row>
    <row r="194" customFormat="false" ht="15" hidden="false" customHeight="false" outlineLevel="0" collapsed="false">
      <c r="A194" s="22" t="str">
        <f aca="false">IF($I194="","",INDEX(Accounts!$A$12:$A$311,MATCH($I194,Accounts!$T$12:$T$311,0))&amp;"")</f>
        <v/>
      </c>
      <c r="B194" s="30" t="str">
        <f aca="false">IF($I194="","",IF(INDEX(Accounts!$R$12:$R$311,MATCH($I194,Accounts!$T$12:$T$311,0))="Check inputs","—",INDEX(Accounts!$B$12:$B$311,MATCH($I194,Accounts!$T$12:$T$311,0))))</f>
        <v/>
      </c>
      <c r="C194" s="30" t="str">
        <f aca="false">IF($I194="","",IF(INDEX(Accounts!$R$12:$R$311,MATCH($I194,Accounts!$T$12:$T$311,0))="Check inputs","—",INDEX(Accounts!$M$12:$M$311,MATCH($I194,Accounts!$T$12:$T$311,0))))</f>
        <v/>
      </c>
      <c r="D194" s="30" t="str">
        <f aca="false">IF($I194="","",IF(INDEX(Accounts!$R$12:$R$311,MATCH($I194,Accounts!$T$12:$T$311,0))="Check inputs","—",INDEX(Accounts!$N$12:$N$311,MATCH($I194,Accounts!$T$12:$T$311,0))))</f>
        <v/>
      </c>
      <c r="E194" s="31" t="str">
        <f aca="false">IF($I194="","",IF(INDEX(Accounts!$R$12:$R$311,MATCH($I194,Accounts!$T$12:$T$311,0))="Check inputs","—",INDEX(Accounts!$O$12:$O$311,MATCH($I194,Accounts!$T$12:$T$311,0))))</f>
        <v/>
      </c>
      <c r="F194" s="30" t="str">
        <f aca="false">IF($I194="","",IF(INDEX(Accounts!$R$12:$R$311,MATCH($I194,Accounts!$T$12:$T$311,0))="Check inputs","—",INDEX(Accounts!$P$12:$P$311,MATCH($I194,Accounts!$T$12:$T$311,0))))</f>
        <v/>
      </c>
      <c r="G194" s="30" t="str">
        <f aca="false">IF($I194="","",IF(INDEX(Accounts!$R$12:$R$311,MATCH($I194,Accounts!$T$12:$T$311,0))="Check inputs","—",INDEX(Accounts!$Q$12:$Q$311,MATCH($I194,Accounts!$T$12:$T$311,0))))</f>
        <v/>
      </c>
      <c r="H194" s="32" t="str">
        <f aca="false">IF($I194="","",IF(INDEX(Accounts!$R$12:$R$311,MATCH($I194,Accounts!$T$12:$T$311,0))="Check inputs","Check inputs: "&amp;INDEX(Accounts!$S$12:$S$311,MATCH($I194,Accounts!$T$12:$T$311,0)),INDEX(Accounts!$R$12:$R$311,MATCH($I194,Accounts!$T$12:$T$311,0))))</f>
        <v/>
      </c>
      <c r="I194" s="33" t="str">
        <f aca="false">IF(186&gt;COUNT(Accounts!$T$12:$T$311),"",SMALL(Accounts!$T$12:$T$311,186))</f>
        <v/>
      </c>
    </row>
    <row r="195" customFormat="false" ht="15" hidden="false" customHeight="false" outlineLevel="0" collapsed="false">
      <c r="A195" s="22" t="str">
        <f aca="false">IF($I195="","",INDEX(Accounts!$A$12:$A$311,MATCH($I195,Accounts!$T$12:$T$311,0))&amp;"")</f>
        <v/>
      </c>
      <c r="B195" s="30" t="str">
        <f aca="false">IF($I195="","",IF(INDEX(Accounts!$R$12:$R$311,MATCH($I195,Accounts!$T$12:$T$311,0))="Check inputs","—",INDEX(Accounts!$B$12:$B$311,MATCH($I195,Accounts!$T$12:$T$311,0))))</f>
        <v/>
      </c>
      <c r="C195" s="30" t="str">
        <f aca="false">IF($I195="","",IF(INDEX(Accounts!$R$12:$R$311,MATCH($I195,Accounts!$T$12:$T$311,0))="Check inputs","—",INDEX(Accounts!$M$12:$M$311,MATCH($I195,Accounts!$T$12:$T$311,0))))</f>
        <v/>
      </c>
      <c r="D195" s="30" t="str">
        <f aca="false">IF($I195="","",IF(INDEX(Accounts!$R$12:$R$311,MATCH($I195,Accounts!$T$12:$T$311,0))="Check inputs","—",INDEX(Accounts!$N$12:$N$311,MATCH($I195,Accounts!$T$12:$T$311,0))))</f>
        <v/>
      </c>
      <c r="E195" s="31" t="str">
        <f aca="false">IF($I195="","",IF(INDEX(Accounts!$R$12:$R$311,MATCH($I195,Accounts!$T$12:$T$311,0))="Check inputs","—",INDEX(Accounts!$O$12:$O$311,MATCH($I195,Accounts!$T$12:$T$311,0))))</f>
        <v/>
      </c>
      <c r="F195" s="30" t="str">
        <f aca="false">IF($I195="","",IF(INDEX(Accounts!$R$12:$R$311,MATCH($I195,Accounts!$T$12:$T$311,0))="Check inputs","—",INDEX(Accounts!$P$12:$P$311,MATCH($I195,Accounts!$T$12:$T$311,0))))</f>
        <v/>
      </c>
      <c r="G195" s="30" t="str">
        <f aca="false">IF($I195="","",IF(INDEX(Accounts!$R$12:$R$311,MATCH($I195,Accounts!$T$12:$T$311,0))="Check inputs","—",INDEX(Accounts!$Q$12:$Q$311,MATCH($I195,Accounts!$T$12:$T$311,0))))</f>
        <v/>
      </c>
      <c r="H195" s="32" t="str">
        <f aca="false">IF($I195="","",IF(INDEX(Accounts!$R$12:$R$311,MATCH($I195,Accounts!$T$12:$T$311,0))="Check inputs","Check inputs: "&amp;INDEX(Accounts!$S$12:$S$311,MATCH($I195,Accounts!$T$12:$T$311,0)),INDEX(Accounts!$R$12:$R$311,MATCH($I195,Accounts!$T$12:$T$311,0))))</f>
        <v/>
      </c>
      <c r="I195" s="33" t="str">
        <f aca="false">IF(187&gt;COUNT(Accounts!$T$12:$T$311),"",SMALL(Accounts!$T$12:$T$311,187))</f>
        <v/>
      </c>
    </row>
    <row r="196" customFormat="false" ht="15" hidden="false" customHeight="false" outlineLevel="0" collapsed="false">
      <c r="A196" s="22" t="str">
        <f aca="false">IF($I196="","",INDEX(Accounts!$A$12:$A$311,MATCH($I196,Accounts!$T$12:$T$311,0))&amp;"")</f>
        <v/>
      </c>
      <c r="B196" s="30" t="str">
        <f aca="false">IF($I196="","",IF(INDEX(Accounts!$R$12:$R$311,MATCH($I196,Accounts!$T$12:$T$311,0))="Check inputs","—",INDEX(Accounts!$B$12:$B$311,MATCH($I196,Accounts!$T$12:$T$311,0))))</f>
        <v/>
      </c>
      <c r="C196" s="30" t="str">
        <f aca="false">IF($I196="","",IF(INDEX(Accounts!$R$12:$R$311,MATCH($I196,Accounts!$T$12:$T$311,0))="Check inputs","—",INDEX(Accounts!$M$12:$M$311,MATCH($I196,Accounts!$T$12:$T$311,0))))</f>
        <v/>
      </c>
      <c r="D196" s="30" t="str">
        <f aca="false">IF($I196="","",IF(INDEX(Accounts!$R$12:$R$311,MATCH($I196,Accounts!$T$12:$T$311,0))="Check inputs","—",INDEX(Accounts!$N$12:$N$311,MATCH($I196,Accounts!$T$12:$T$311,0))))</f>
        <v/>
      </c>
      <c r="E196" s="31" t="str">
        <f aca="false">IF($I196="","",IF(INDEX(Accounts!$R$12:$R$311,MATCH($I196,Accounts!$T$12:$T$311,0))="Check inputs","—",INDEX(Accounts!$O$12:$O$311,MATCH($I196,Accounts!$T$12:$T$311,0))))</f>
        <v/>
      </c>
      <c r="F196" s="30" t="str">
        <f aca="false">IF($I196="","",IF(INDEX(Accounts!$R$12:$R$311,MATCH($I196,Accounts!$T$12:$T$311,0))="Check inputs","—",INDEX(Accounts!$P$12:$P$311,MATCH($I196,Accounts!$T$12:$T$311,0))))</f>
        <v/>
      </c>
      <c r="G196" s="30" t="str">
        <f aca="false">IF($I196="","",IF(INDEX(Accounts!$R$12:$R$311,MATCH($I196,Accounts!$T$12:$T$311,0))="Check inputs","—",INDEX(Accounts!$Q$12:$Q$311,MATCH($I196,Accounts!$T$12:$T$311,0))))</f>
        <v/>
      </c>
      <c r="H196" s="32" t="str">
        <f aca="false">IF($I196="","",IF(INDEX(Accounts!$R$12:$R$311,MATCH($I196,Accounts!$T$12:$T$311,0))="Check inputs","Check inputs: "&amp;INDEX(Accounts!$S$12:$S$311,MATCH($I196,Accounts!$T$12:$T$311,0)),INDEX(Accounts!$R$12:$R$311,MATCH($I196,Accounts!$T$12:$T$311,0))))</f>
        <v/>
      </c>
      <c r="I196" s="33" t="str">
        <f aca="false">IF(188&gt;COUNT(Accounts!$T$12:$T$311),"",SMALL(Accounts!$T$12:$T$311,188))</f>
        <v/>
      </c>
    </row>
    <row r="197" customFormat="false" ht="15" hidden="false" customHeight="false" outlineLevel="0" collapsed="false">
      <c r="A197" s="22" t="str">
        <f aca="false">IF($I197="","",INDEX(Accounts!$A$12:$A$311,MATCH($I197,Accounts!$T$12:$T$311,0))&amp;"")</f>
        <v/>
      </c>
      <c r="B197" s="30" t="str">
        <f aca="false">IF($I197="","",IF(INDEX(Accounts!$R$12:$R$311,MATCH($I197,Accounts!$T$12:$T$311,0))="Check inputs","—",INDEX(Accounts!$B$12:$B$311,MATCH($I197,Accounts!$T$12:$T$311,0))))</f>
        <v/>
      </c>
      <c r="C197" s="30" t="str">
        <f aca="false">IF($I197="","",IF(INDEX(Accounts!$R$12:$R$311,MATCH($I197,Accounts!$T$12:$T$311,0))="Check inputs","—",INDEX(Accounts!$M$12:$M$311,MATCH($I197,Accounts!$T$12:$T$311,0))))</f>
        <v/>
      </c>
      <c r="D197" s="30" t="str">
        <f aca="false">IF($I197="","",IF(INDEX(Accounts!$R$12:$R$311,MATCH($I197,Accounts!$T$12:$T$311,0))="Check inputs","—",INDEX(Accounts!$N$12:$N$311,MATCH($I197,Accounts!$T$12:$T$311,0))))</f>
        <v/>
      </c>
      <c r="E197" s="31" t="str">
        <f aca="false">IF($I197="","",IF(INDEX(Accounts!$R$12:$R$311,MATCH($I197,Accounts!$T$12:$T$311,0))="Check inputs","—",INDEX(Accounts!$O$12:$O$311,MATCH($I197,Accounts!$T$12:$T$311,0))))</f>
        <v/>
      </c>
      <c r="F197" s="30" t="str">
        <f aca="false">IF($I197="","",IF(INDEX(Accounts!$R$12:$R$311,MATCH($I197,Accounts!$T$12:$T$311,0))="Check inputs","—",INDEX(Accounts!$P$12:$P$311,MATCH($I197,Accounts!$T$12:$T$311,0))))</f>
        <v/>
      </c>
      <c r="G197" s="30" t="str">
        <f aca="false">IF($I197="","",IF(INDEX(Accounts!$R$12:$R$311,MATCH($I197,Accounts!$T$12:$T$311,0))="Check inputs","—",INDEX(Accounts!$Q$12:$Q$311,MATCH($I197,Accounts!$T$12:$T$311,0))))</f>
        <v/>
      </c>
      <c r="H197" s="32" t="str">
        <f aca="false">IF($I197="","",IF(INDEX(Accounts!$R$12:$R$311,MATCH($I197,Accounts!$T$12:$T$311,0))="Check inputs","Check inputs: "&amp;INDEX(Accounts!$S$12:$S$311,MATCH($I197,Accounts!$T$12:$T$311,0)),INDEX(Accounts!$R$12:$R$311,MATCH($I197,Accounts!$T$12:$T$311,0))))</f>
        <v/>
      </c>
      <c r="I197" s="33" t="str">
        <f aca="false">IF(189&gt;COUNT(Accounts!$T$12:$T$311),"",SMALL(Accounts!$T$12:$T$311,189))</f>
        <v/>
      </c>
    </row>
    <row r="198" customFormat="false" ht="15" hidden="false" customHeight="false" outlineLevel="0" collapsed="false">
      <c r="A198" s="22" t="str">
        <f aca="false">IF($I198="","",INDEX(Accounts!$A$12:$A$311,MATCH($I198,Accounts!$T$12:$T$311,0))&amp;"")</f>
        <v/>
      </c>
      <c r="B198" s="30" t="str">
        <f aca="false">IF($I198="","",IF(INDEX(Accounts!$R$12:$R$311,MATCH($I198,Accounts!$T$12:$T$311,0))="Check inputs","—",INDEX(Accounts!$B$12:$B$311,MATCH($I198,Accounts!$T$12:$T$311,0))))</f>
        <v/>
      </c>
      <c r="C198" s="30" t="str">
        <f aca="false">IF($I198="","",IF(INDEX(Accounts!$R$12:$R$311,MATCH($I198,Accounts!$T$12:$T$311,0))="Check inputs","—",INDEX(Accounts!$M$12:$M$311,MATCH($I198,Accounts!$T$12:$T$311,0))))</f>
        <v/>
      </c>
      <c r="D198" s="30" t="str">
        <f aca="false">IF($I198="","",IF(INDEX(Accounts!$R$12:$R$311,MATCH($I198,Accounts!$T$12:$T$311,0))="Check inputs","—",INDEX(Accounts!$N$12:$N$311,MATCH($I198,Accounts!$T$12:$T$311,0))))</f>
        <v/>
      </c>
      <c r="E198" s="31" t="str">
        <f aca="false">IF($I198="","",IF(INDEX(Accounts!$R$12:$R$311,MATCH($I198,Accounts!$T$12:$T$311,0))="Check inputs","—",INDEX(Accounts!$O$12:$O$311,MATCH($I198,Accounts!$T$12:$T$311,0))))</f>
        <v/>
      </c>
      <c r="F198" s="30" t="str">
        <f aca="false">IF($I198="","",IF(INDEX(Accounts!$R$12:$R$311,MATCH($I198,Accounts!$T$12:$T$311,0))="Check inputs","—",INDEX(Accounts!$P$12:$P$311,MATCH($I198,Accounts!$T$12:$T$311,0))))</f>
        <v/>
      </c>
      <c r="G198" s="30" t="str">
        <f aca="false">IF($I198="","",IF(INDEX(Accounts!$R$12:$R$311,MATCH($I198,Accounts!$T$12:$T$311,0))="Check inputs","—",INDEX(Accounts!$Q$12:$Q$311,MATCH($I198,Accounts!$T$12:$T$311,0))))</f>
        <v/>
      </c>
      <c r="H198" s="32" t="str">
        <f aca="false">IF($I198="","",IF(INDEX(Accounts!$R$12:$R$311,MATCH($I198,Accounts!$T$12:$T$311,0))="Check inputs","Check inputs: "&amp;INDEX(Accounts!$S$12:$S$311,MATCH($I198,Accounts!$T$12:$T$311,0)),INDEX(Accounts!$R$12:$R$311,MATCH($I198,Accounts!$T$12:$T$311,0))))</f>
        <v/>
      </c>
      <c r="I198" s="33" t="str">
        <f aca="false">IF(190&gt;COUNT(Accounts!$T$12:$T$311),"",SMALL(Accounts!$T$12:$T$311,190))</f>
        <v/>
      </c>
    </row>
    <row r="199" customFormat="false" ht="15" hidden="false" customHeight="false" outlineLevel="0" collapsed="false">
      <c r="A199" s="22" t="str">
        <f aca="false">IF($I199="","",INDEX(Accounts!$A$12:$A$311,MATCH($I199,Accounts!$T$12:$T$311,0))&amp;"")</f>
        <v/>
      </c>
      <c r="B199" s="30" t="str">
        <f aca="false">IF($I199="","",IF(INDEX(Accounts!$R$12:$R$311,MATCH($I199,Accounts!$T$12:$T$311,0))="Check inputs","—",INDEX(Accounts!$B$12:$B$311,MATCH($I199,Accounts!$T$12:$T$311,0))))</f>
        <v/>
      </c>
      <c r="C199" s="30" t="str">
        <f aca="false">IF($I199="","",IF(INDEX(Accounts!$R$12:$R$311,MATCH($I199,Accounts!$T$12:$T$311,0))="Check inputs","—",INDEX(Accounts!$M$12:$M$311,MATCH($I199,Accounts!$T$12:$T$311,0))))</f>
        <v/>
      </c>
      <c r="D199" s="30" t="str">
        <f aca="false">IF($I199="","",IF(INDEX(Accounts!$R$12:$R$311,MATCH($I199,Accounts!$T$12:$T$311,0))="Check inputs","—",INDEX(Accounts!$N$12:$N$311,MATCH($I199,Accounts!$T$12:$T$311,0))))</f>
        <v/>
      </c>
      <c r="E199" s="31" t="str">
        <f aca="false">IF($I199="","",IF(INDEX(Accounts!$R$12:$R$311,MATCH($I199,Accounts!$T$12:$T$311,0))="Check inputs","—",INDEX(Accounts!$O$12:$O$311,MATCH($I199,Accounts!$T$12:$T$311,0))))</f>
        <v/>
      </c>
      <c r="F199" s="30" t="str">
        <f aca="false">IF($I199="","",IF(INDEX(Accounts!$R$12:$R$311,MATCH($I199,Accounts!$T$12:$T$311,0))="Check inputs","—",INDEX(Accounts!$P$12:$P$311,MATCH($I199,Accounts!$T$12:$T$311,0))))</f>
        <v/>
      </c>
      <c r="G199" s="30" t="str">
        <f aca="false">IF($I199="","",IF(INDEX(Accounts!$R$12:$R$311,MATCH($I199,Accounts!$T$12:$T$311,0))="Check inputs","—",INDEX(Accounts!$Q$12:$Q$311,MATCH($I199,Accounts!$T$12:$T$311,0))))</f>
        <v/>
      </c>
      <c r="H199" s="32" t="str">
        <f aca="false">IF($I199="","",IF(INDEX(Accounts!$R$12:$R$311,MATCH($I199,Accounts!$T$12:$T$311,0))="Check inputs","Check inputs: "&amp;INDEX(Accounts!$S$12:$S$311,MATCH($I199,Accounts!$T$12:$T$311,0)),INDEX(Accounts!$R$12:$R$311,MATCH($I199,Accounts!$T$12:$T$311,0))))</f>
        <v/>
      </c>
      <c r="I199" s="33" t="str">
        <f aca="false">IF(191&gt;COUNT(Accounts!$T$12:$T$311),"",SMALL(Accounts!$T$12:$T$311,191))</f>
        <v/>
      </c>
    </row>
    <row r="200" customFormat="false" ht="15" hidden="false" customHeight="false" outlineLevel="0" collapsed="false">
      <c r="A200" s="22" t="str">
        <f aca="false">IF($I200="","",INDEX(Accounts!$A$12:$A$311,MATCH($I200,Accounts!$T$12:$T$311,0))&amp;"")</f>
        <v/>
      </c>
      <c r="B200" s="30" t="str">
        <f aca="false">IF($I200="","",IF(INDEX(Accounts!$R$12:$R$311,MATCH($I200,Accounts!$T$12:$T$311,0))="Check inputs","—",INDEX(Accounts!$B$12:$B$311,MATCH($I200,Accounts!$T$12:$T$311,0))))</f>
        <v/>
      </c>
      <c r="C200" s="30" t="str">
        <f aca="false">IF($I200="","",IF(INDEX(Accounts!$R$12:$R$311,MATCH($I200,Accounts!$T$12:$T$311,0))="Check inputs","—",INDEX(Accounts!$M$12:$M$311,MATCH($I200,Accounts!$T$12:$T$311,0))))</f>
        <v/>
      </c>
      <c r="D200" s="30" t="str">
        <f aca="false">IF($I200="","",IF(INDEX(Accounts!$R$12:$R$311,MATCH($I200,Accounts!$T$12:$T$311,0))="Check inputs","—",INDEX(Accounts!$N$12:$N$311,MATCH($I200,Accounts!$T$12:$T$311,0))))</f>
        <v/>
      </c>
      <c r="E200" s="31" t="str">
        <f aca="false">IF($I200="","",IF(INDEX(Accounts!$R$12:$R$311,MATCH($I200,Accounts!$T$12:$T$311,0))="Check inputs","—",INDEX(Accounts!$O$12:$O$311,MATCH($I200,Accounts!$T$12:$T$311,0))))</f>
        <v/>
      </c>
      <c r="F200" s="30" t="str">
        <f aca="false">IF($I200="","",IF(INDEX(Accounts!$R$12:$R$311,MATCH($I200,Accounts!$T$12:$T$311,0))="Check inputs","—",INDEX(Accounts!$P$12:$P$311,MATCH($I200,Accounts!$T$12:$T$311,0))))</f>
        <v/>
      </c>
      <c r="G200" s="30" t="str">
        <f aca="false">IF($I200="","",IF(INDEX(Accounts!$R$12:$R$311,MATCH($I200,Accounts!$T$12:$T$311,0))="Check inputs","—",INDEX(Accounts!$Q$12:$Q$311,MATCH($I200,Accounts!$T$12:$T$311,0))))</f>
        <v/>
      </c>
      <c r="H200" s="32" t="str">
        <f aca="false">IF($I200="","",IF(INDEX(Accounts!$R$12:$R$311,MATCH($I200,Accounts!$T$12:$T$311,0))="Check inputs","Check inputs: "&amp;INDEX(Accounts!$S$12:$S$311,MATCH($I200,Accounts!$T$12:$T$311,0)),INDEX(Accounts!$R$12:$R$311,MATCH($I200,Accounts!$T$12:$T$311,0))))</f>
        <v/>
      </c>
      <c r="I200" s="33" t="str">
        <f aca="false">IF(192&gt;COUNT(Accounts!$T$12:$T$311),"",SMALL(Accounts!$T$12:$T$311,192))</f>
        <v/>
      </c>
    </row>
    <row r="201" customFormat="false" ht="15" hidden="false" customHeight="false" outlineLevel="0" collapsed="false">
      <c r="A201" s="22" t="str">
        <f aca="false">IF($I201="","",INDEX(Accounts!$A$12:$A$311,MATCH($I201,Accounts!$T$12:$T$311,0))&amp;"")</f>
        <v/>
      </c>
      <c r="B201" s="30" t="str">
        <f aca="false">IF($I201="","",IF(INDEX(Accounts!$R$12:$R$311,MATCH($I201,Accounts!$T$12:$T$311,0))="Check inputs","—",INDEX(Accounts!$B$12:$B$311,MATCH($I201,Accounts!$T$12:$T$311,0))))</f>
        <v/>
      </c>
      <c r="C201" s="30" t="str">
        <f aca="false">IF($I201="","",IF(INDEX(Accounts!$R$12:$R$311,MATCH($I201,Accounts!$T$12:$T$311,0))="Check inputs","—",INDEX(Accounts!$M$12:$M$311,MATCH($I201,Accounts!$T$12:$T$311,0))))</f>
        <v/>
      </c>
      <c r="D201" s="30" t="str">
        <f aca="false">IF($I201="","",IF(INDEX(Accounts!$R$12:$R$311,MATCH($I201,Accounts!$T$12:$T$311,0))="Check inputs","—",INDEX(Accounts!$N$12:$N$311,MATCH($I201,Accounts!$T$12:$T$311,0))))</f>
        <v/>
      </c>
      <c r="E201" s="31" t="str">
        <f aca="false">IF($I201="","",IF(INDEX(Accounts!$R$12:$R$311,MATCH($I201,Accounts!$T$12:$T$311,0))="Check inputs","—",INDEX(Accounts!$O$12:$O$311,MATCH($I201,Accounts!$T$12:$T$311,0))))</f>
        <v/>
      </c>
      <c r="F201" s="30" t="str">
        <f aca="false">IF($I201="","",IF(INDEX(Accounts!$R$12:$R$311,MATCH($I201,Accounts!$T$12:$T$311,0))="Check inputs","—",INDEX(Accounts!$P$12:$P$311,MATCH($I201,Accounts!$T$12:$T$311,0))))</f>
        <v/>
      </c>
      <c r="G201" s="30" t="str">
        <f aca="false">IF($I201="","",IF(INDEX(Accounts!$R$12:$R$311,MATCH($I201,Accounts!$T$12:$T$311,0))="Check inputs","—",INDEX(Accounts!$Q$12:$Q$311,MATCH($I201,Accounts!$T$12:$T$311,0))))</f>
        <v/>
      </c>
      <c r="H201" s="32" t="str">
        <f aca="false">IF($I201="","",IF(INDEX(Accounts!$R$12:$R$311,MATCH($I201,Accounts!$T$12:$T$311,0))="Check inputs","Check inputs: "&amp;INDEX(Accounts!$S$12:$S$311,MATCH($I201,Accounts!$T$12:$T$311,0)),INDEX(Accounts!$R$12:$R$311,MATCH($I201,Accounts!$T$12:$T$311,0))))</f>
        <v/>
      </c>
      <c r="I201" s="33" t="str">
        <f aca="false">IF(193&gt;COUNT(Accounts!$T$12:$T$311),"",SMALL(Accounts!$T$12:$T$311,193))</f>
        <v/>
      </c>
    </row>
    <row r="202" customFormat="false" ht="15" hidden="false" customHeight="false" outlineLevel="0" collapsed="false">
      <c r="A202" s="22" t="str">
        <f aca="false">IF($I202="","",INDEX(Accounts!$A$12:$A$311,MATCH($I202,Accounts!$T$12:$T$311,0))&amp;"")</f>
        <v/>
      </c>
      <c r="B202" s="30" t="str">
        <f aca="false">IF($I202="","",IF(INDEX(Accounts!$R$12:$R$311,MATCH($I202,Accounts!$T$12:$T$311,0))="Check inputs","—",INDEX(Accounts!$B$12:$B$311,MATCH($I202,Accounts!$T$12:$T$311,0))))</f>
        <v/>
      </c>
      <c r="C202" s="30" t="str">
        <f aca="false">IF($I202="","",IF(INDEX(Accounts!$R$12:$R$311,MATCH($I202,Accounts!$T$12:$T$311,0))="Check inputs","—",INDEX(Accounts!$M$12:$M$311,MATCH($I202,Accounts!$T$12:$T$311,0))))</f>
        <v/>
      </c>
      <c r="D202" s="30" t="str">
        <f aca="false">IF($I202="","",IF(INDEX(Accounts!$R$12:$R$311,MATCH($I202,Accounts!$T$12:$T$311,0))="Check inputs","—",INDEX(Accounts!$N$12:$N$311,MATCH($I202,Accounts!$T$12:$T$311,0))))</f>
        <v/>
      </c>
      <c r="E202" s="31" t="str">
        <f aca="false">IF($I202="","",IF(INDEX(Accounts!$R$12:$R$311,MATCH($I202,Accounts!$T$12:$T$311,0))="Check inputs","—",INDEX(Accounts!$O$12:$O$311,MATCH($I202,Accounts!$T$12:$T$311,0))))</f>
        <v/>
      </c>
      <c r="F202" s="30" t="str">
        <f aca="false">IF($I202="","",IF(INDEX(Accounts!$R$12:$R$311,MATCH($I202,Accounts!$T$12:$T$311,0))="Check inputs","—",INDEX(Accounts!$P$12:$P$311,MATCH($I202,Accounts!$T$12:$T$311,0))))</f>
        <v/>
      </c>
      <c r="G202" s="30" t="str">
        <f aca="false">IF($I202="","",IF(INDEX(Accounts!$R$12:$R$311,MATCH($I202,Accounts!$T$12:$T$311,0))="Check inputs","—",INDEX(Accounts!$Q$12:$Q$311,MATCH($I202,Accounts!$T$12:$T$311,0))))</f>
        <v/>
      </c>
      <c r="H202" s="32" t="str">
        <f aca="false">IF($I202="","",IF(INDEX(Accounts!$R$12:$R$311,MATCH($I202,Accounts!$T$12:$T$311,0))="Check inputs","Check inputs: "&amp;INDEX(Accounts!$S$12:$S$311,MATCH($I202,Accounts!$T$12:$T$311,0)),INDEX(Accounts!$R$12:$R$311,MATCH($I202,Accounts!$T$12:$T$311,0))))</f>
        <v/>
      </c>
      <c r="I202" s="33" t="str">
        <f aca="false">IF(194&gt;COUNT(Accounts!$T$12:$T$311),"",SMALL(Accounts!$T$12:$T$311,194))</f>
        <v/>
      </c>
    </row>
    <row r="203" customFormat="false" ht="15" hidden="false" customHeight="false" outlineLevel="0" collapsed="false">
      <c r="A203" s="22" t="str">
        <f aca="false">IF($I203="","",INDEX(Accounts!$A$12:$A$311,MATCH($I203,Accounts!$T$12:$T$311,0))&amp;"")</f>
        <v/>
      </c>
      <c r="B203" s="30" t="str">
        <f aca="false">IF($I203="","",IF(INDEX(Accounts!$R$12:$R$311,MATCH($I203,Accounts!$T$12:$T$311,0))="Check inputs","—",INDEX(Accounts!$B$12:$B$311,MATCH($I203,Accounts!$T$12:$T$311,0))))</f>
        <v/>
      </c>
      <c r="C203" s="30" t="str">
        <f aca="false">IF($I203="","",IF(INDEX(Accounts!$R$12:$R$311,MATCH($I203,Accounts!$T$12:$T$311,0))="Check inputs","—",INDEX(Accounts!$M$12:$M$311,MATCH($I203,Accounts!$T$12:$T$311,0))))</f>
        <v/>
      </c>
      <c r="D203" s="30" t="str">
        <f aca="false">IF($I203="","",IF(INDEX(Accounts!$R$12:$R$311,MATCH($I203,Accounts!$T$12:$T$311,0))="Check inputs","—",INDEX(Accounts!$N$12:$N$311,MATCH($I203,Accounts!$T$12:$T$311,0))))</f>
        <v/>
      </c>
      <c r="E203" s="31" t="str">
        <f aca="false">IF($I203="","",IF(INDEX(Accounts!$R$12:$R$311,MATCH($I203,Accounts!$T$12:$T$311,0))="Check inputs","—",INDEX(Accounts!$O$12:$O$311,MATCH($I203,Accounts!$T$12:$T$311,0))))</f>
        <v/>
      </c>
      <c r="F203" s="30" t="str">
        <f aca="false">IF($I203="","",IF(INDEX(Accounts!$R$12:$R$311,MATCH($I203,Accounts!$T$12:$T$311,0))="Check inputs","—",INDEX(Accounts!$P$12:$P$311,MATCH($I203,Accounts!$T$12:$T$311,0))))</f>
        <v/>
      </c>
      <c r="G203" s="30" t="str">
        <f aca="false">IF($I203="","",IF(INDEX(Accounts!$R$12:$R$311,MATCH($I203,Accounts!$T$12:$T$311,0))="Check inputs","—",INDEX(Accounts!$Q$12:$Q$311,MATCH($I203,Accounts!$T$12:$T$311,0))))</f>
        <v/>
      </c>
      <c r="H203" s="32" t="str">
        <f aca="false">IF($I203="","",IF(INDEX(Accounts!$R$12:$R$311,MATCH($I203,Accounts!$T$12:$T$311,0))="Check inputs","Check inputs: "&amp;INDEX(Accounts!$S$12:$S$311,MATCH($I203,Accounts!$T$12:$T$311,0)),INDEX(Accounts!$R$12:$R$311,MATCH($I203,Accounts!$T$12:$T$311,0))))</f>
        <v/>
      </c>
      <c r="I203" s="33" t="str">
        <f aca="false">IF(195&gt;COUNT(Accounts!$T$12:$T$311),"",SMALL(Accounts!$T$12:$T$311,195))</f>
        <v/>
      </c>
    </row>
    <row r="204" customFormat="false" ht="15" hidden="false" customHeight="false" outlineLevel="0" collapsed="false">
      <c r="A204" s="22" t="str">
        <f aca="false">IF($I204="","",INDEX(Accounts!$A$12:$A$311,MATCH($I204,Accounts!$T$12:$T$311,0))&amp;"")</f>
        <v/>
      </c>
      <c r="B204" s="30" t="str">
        <f aca="false">IF($I204="","",IF(INDEX(Accounts!$R$12:$R$311,MATCH($I204,Accounts!$T$12:$T$311,0))="Check inputs","—",INDEX(Accounts!$B$12:$B$311,MATCH($I204,Accounts!$T$12:$T$311,0))))</f>
        <v/>
      </c>
      <c r="C204" s="30" t="str">
        <f aca="false">IF($I204="","",IF(INDEX(Accounts!$R$12:$R$311,MATCH($I204,Accounts!$T$12:$T$311,0))="Check inputs","—",INDEX(Accounts!$M$12:$M$311,MATCH($I204,Accounts!$T$12:$T$311,0))))</f>
        <v/>
      </c>
      <c r="D204" s="30" t="str">
        <f aca="false">IF($I204="","",IF(INDEX(Accounts!$R$12:$R$311,MATCH($I204,Accounts!$T$12:$T$311,0))="Check inputs","—",INDEX(Accounts!$N$12:$N$311,MATCH($I204,Accounts!$T$12:$T$311,0))))</f>
        <v/>
      </c>
      <c r="E204" s="31" t="str">
        <f aca="false">IF($I204="","",IF(INDEX(Accounts!$R$12:$R$311,MATCH($I204,Accounts!$T$12:$T$311,0))="Check inputs","—",INDEX(Accounts!$O$12:$O$311,MATCH($I204,Accounts!$T$12:$T$311,0))))</f>
        <v/>
      </c>
      <c r="F204" s="30" t="str">
        <f aca="false">IF($I204="","",IF(INDEX(Accounts!$R$12:$R$311,MATCH($I204,Accounts!$T$12:$T$311,0))="Check inputs","—",INDEX(Accounts!$P$12:$P$311,MATCH($I204,Accounts!$T$12:$T$311,0))))</f>
        <v/>
      </c>
      <c r="G204" s="30" t="str">
        <f aca="false">IF($I204="","",IF(INDEX(Accounts!$R$12:$R$311,MATCH($I204,Accounts!$T$12:$T$311,0))="Check inputs","—",INDEX(Accounts!$Q$12:$Q$311,MATCH($I204,Accounts!$T$12:$T$311,0))))</f>
        <v/>
      </c>
      <c r="H204" s="32" t="str">
        <f aca="false">IF($I204="","",IF(INDEX(Accounts!$R$12:$R$311,MATCH($I204,Accounts!$T$12:$T$311,0))="Check inputs","Check inputs: "&amp;INDEX(Accounts!$S$12:$S$311,MATCH($I204,Accounts!$T$12:$T$311,0)),INDEX(Accounts!$R$12:$R$311,MATCH($I204,Accounts!$T$12:$T$311,0))))</f>
        <v/>
      </c>
      <c r="I204" s="33" t="str">
        <f aca="false">IF(196&gt;COUNT(Accounts!$T$12:$T$311),"",SMALL(Accounts!$T$12:$T$311,196))</f>
        <v/>
      </c>
    </row>
    <row r="205" customFormat="false" ht="15" hidden="false" customHeight="false" outlineLevel="0" collapsed="false">
      <c r="A205" s="22" t="str">
        <f aca="false">IF($I205="","",INDEX(Accounts!$A$12:$A$311,MATCH($I205,Accounts!$T$12:$T$311,0))&amp;"")</f>
        <v/>
      </c>
      <c r="B205" s="30" t="str">
        <f aca="false">IF($I205="","",IF(INDEX(Accounts!$R$12:$R$311,MATCH($I205,Accounts!$T$12:$T$311,0))="Check inputs","—",INDEX(Accounts!$B$12:$B$311,MATCH($I205,Accounts!$T$12:$T$311,0))))</f>
        <v/>
      </c>
      <c r="C205" s="30" t="str">
        <f aca="false">IF($I205="","",IF(INDEX(Accounts!$R$12:$R$311,MATCH($I205,Accounts!$T$12:$T$311,0))="Check inputs","—",INDEX(Accounts!$M$12:$M$311,MATCH($I205,Accounts!$T$12:$T$311,0))))</f>
        <v/>
      </c>
      <c r="D205" s="30" t="str">
        <f aca="false">IF($I205="","",IF(INDEX(Accounts!$R$12:$R$311,MATCH($I205,Accounts!$T$12:$T$311,0))="Check inputs","—",INDEX(Accounts!$N$12:$N$311,MATCH($I205,Accounts!$T$12:$T$311,0))))</f>
        <v/>
      </c>
      <c r="E205" s="31" t="str">
        <f aca="false">IF($I205="","",IF(INDEX(Accounts!$R$12:$R$311,MATCH($I205,Accounts!$T$12:$T$311,0))="Check inputs","—",INDEX(Accounts!$O$12:$O$311,MATCH($I205,Accounts!$T$12:$T$311,0))))</f>
        <v/>
      </c>
      <c r="F205" s="30" t="str">
        <f aca="false">IF($I205="","",IF(INDEX(Accounts!$R$12:$R$311,MATCH($I205,Accounts!$T$12:$T$311,0))="Check inputs","—",INDEX(Accounts!$P$12:$P$311,MATCH($I205,Accounts!$T$12:$T$311,0))))</f>
        <v/>
      </c>
      <c r="G205" s="30" t="str">
        <f aca="false">IF($I205="","",IF(INDEX(Accounts!$R$12:$R$311,MATCH($I205,Accounts!$T$12:$T$311,0))="Check inputs","—",INDEX(Accounts!$Q$12:$Q$311,MATCH($I205,Accounts!$T$12:$T$311,0))))</f>
        <v/>
      </c>
      <c r="H205" s="32" t="str">
        <f aca="false">IF($I205="","",IF(INDEX(Accounts!$R$12:$R$311,MATCH($I205,Accounts!$T$12:$T$311,0))="Check inputs","Check inputs: "&amp;INDEX(Accounts!$S$12:$S$311,MATCH($I205,Accounts!$T$12:$T$311,0)),INDEX(Accounts!$R$12:$R$311,MATCH($I205,Accounts!$T$12:$T$311,0))))</f>
        <v/>
      </c>
      <c r="I205" s="33" t="str">
        <f aca="false">IF(197&gt;COUNT(Accounts!$T$12:$T$311),"",SMALL(Accounts!$T$12:$T$311,197))</f>
        <v/>
      </c>
    </row>
    <row r="206" customFormat="false" ht="15" hidden="false" customHeight="false" outlineLevel="0" collapsed="false">
      <c r="A206" s="22" t="str">
        <f aca="false">IF($I206="","",INDEX(Accounts!$A$12:$A$311,MATCH($I206,Accounts!$T$12:$T$311,0))&amp;"")</f>
        <v/>
      </c>
      <c r="B206" s="30" t="str">
        <f aca="false">IF($I206="","",IF(INDEX(Accounts!$R$12:$R$311,MATCH($I206,Accounts!$T$12:$T$311,0))="Check inputs","—",INDEX(Accounts!$B$12:$B$311,MATCH($I206,Accounts!$T$12:$T$311,0))))</f>
        <v/>
      </c>
      <c r="C206" s="30" t="str">
        <f aca="false">IF($I206="","",IF(INDEX(Accounts!$R$12:$R$311,MATCH($I206,Accounts!$T$12:$T$311,0))="Check inputs","—",INDEX(Accounts!$M$12:$M$311,MATCH($I206,Accounts!$T$12:$T$311,0))))</f>
        <v/>
      </c>
      <c r="D206" s="30" t="str">
        <f aca="false">IF($I206="","",IF(INDEX(Accounts!$R$12:$R$311,MATCH($I206,Accounts!$T$12:$T$311,0))="Check inputs","—",INDEX(Accounts!$N$12:$N$311,MATCH($I206,Accounts!$T$12:$T$311,0))))</f>
        <v/>
      </c>
      <c r="E206" s="31" t="str">
        <f aca="false">IF($I206="","",IF(INDEX(Accounts!$R$12:$R$311,MATCH($I206,Accounts!$T$12:$T$311,0))="Check inputs","—",INDEX(Accounts!$O$12:$O$311,MATCH($I206,Accounts!$T$12:$T$311,0))))</f>
        <v/>
      </c>
      <c r="F206" s="30" t="str">
        <f aca="false">IF($I206="","",IF(INDEX(Accounts!$R$12:$R$311,MATCH($I206,Accounts!$T$12:$T$311,0))="Check inputs","—",INDEX(Accounts!$P$12:$P$311,MATCH($I206,Accounts!$T$12:$T$311,0))))</f>
        <v/>
      </c>
      <c r="G206" s="30" t="str">
        <f aca="false">IF($I206="","",IF(INDEX(Accounts!$R$12:$R$311,MATCH($I206,Accounts!$T$12:$T$311,0))="Check inputs","—",INDEX(Accounts!$Q$12:$Q$311,MATCH($I206,Accounts!$T$12:$T$311,0))))</f>
        <v/>
      </c>
      <c r="H206" s="32" t="str">
        <f aca="false">IF($I206="","",IF(INDEX(Accounts!$R$12:$R$311,MATCH($I206,Accounts!$T$12:$T$311,0))="Check inputs","Check inputs: "&amp;INDEX(Accounts!$S$12:$S$311,MATCH($I206,Accounts!$T$12:$T$311,0)),INDEX(Accounts!$R$12:$R$311,MATCH($I206,Accounts!$T$12:$T$311,0))))</f>
        <v/>
      </c>
      <c r="I206" s="33" t="str">
        <f aca="false">IF(198&gt;COUNT(Accounts!$T$12:$T$311),"",SMALL(Accounts!$T$12:$T$311,198))</f>
        <v/>
      </c>
    </row>
    <row r="207" customFormat="false" ht="15" hidden="false" customHeight="false" outlineLevel="0" collapsed="false">
      <c r="A207" s="22" t="str">
        <f aca="false">IF($I207="","",INDEX(Accounts!$A$12:$A$311,MATCH($I207,Accounts!$T$12:$T$311,0))&amp;"")</f>
        <v/>
      </c>
      <c r="B207" s="30" t="str">
        <f aca="false">IF($I207="","",IF(INDEX(Accounts!$R$12:$R$311,MATCH($I207,Accounts!$T$12:$T$311,0))="Check inputs","—",INDEX(Accounts!$B$12:$B$311,MATCH($I207,Accounts!$T$12:$T$311,0))))</f>
        <v/>
      </c>
      <c r="C207" s="30" t="str">
        <f aca="false">IF($I207="","",IF(INDEX(Accounts!$R$12:$R$311,MATCH($I207,Accounts!$T$12:$T$311,0))="Check inputs","—",INDEX(Accounts!$M$12:$M$311,MATCH($I207,Accounts!$T$12:$T$311,0))))</f>
        <v/>
      </c>
      <c r="D207" s="30" t="str">
        <f aca="false">IF($I207="","",IF(INDEX(Accounts!$R$12:$R$311,MATCH($I207,Accounts!$T$12:$T$311,0))="Check inputs","—",INDEX(Accounts!$N$12:$N$311,MATCH($I207,Accounts!$T$12:$T$311,0))))</f>
        <v/>
      </c>
      <c r="E207" s="31" t="str">
        <f aca="false">IF($I207="","",IF(INDEX(Accounts!$R$12:$R$311,MATCH($I207,Accounts!$T$12:$T$311,0))="Check inputs","—",INDEX(Accounts!$O$12:$O$311,MATCH($I207,Accounts!$T$12:$T$311,0))))</f>
        <v/>
      </c>
      <c r="F207" s="30" t="str">
        <f aca="false">IF($I207="","",IF(INDEX(Accounts!$R$12:$R$311,MATCH($I207,Accounts!$T$12:$T$311,0))="Check inputs","—",INDEX(Accounts!$P$12:$P$311,MATCH($I207,Accounts!$T$12:$T$311,0))))</f>
        <v/>
      </c>
      <c r="G207" s="30" t="str">
        <f aca="false">IF($I207="","",IF(INDEX(Accounts!$R$12:$R$311,MATCH($I207,Accounts!$T$12:$T$311,0))="Check inputs","—",INDEX(Accounts!$Q$12:$Q$311,MATCH($I207,Accounts!$T$12:$T$311,0))))</f>
        <v/>
      </c>
      <c r="H207" s="32" t="str">
        <f aca="false">IF($I207="","",IF(INDEX(Accounts!$R$12:$R$311,MATCH($I207,Accounts!$T$12:$T$311,0))="Check inputs","Check inputs: "&amp;INDEX(Accounts!$S$12:$S$311,MATCH($I207,Accounts!$T$12:$T$311,0)),INDEX(Accounts!$R$12:$R$311,MATCH($I207,Accounts!$T$12:$T$311,0))))</f>
        <v/>
      </c>
      <c r="I207" s="33" t="str">
        <f aca="false">IF(199&gt;COUNT(Accounts!$T$12:$T$311),"",SMALL(Accounts!$T$12:$T$311,199))</f>
        <v/>
      </c>
    </row>
    <row r="208" customFormat="false" ht="15" hidden="false" customHeight="false" outlineLevel="0" collapsed="false">
      <c r="A208" s="22" t="str">
        <f aca="false">IF($I208="","",INDEX(Accounts!$A$12:$A$311,MATCH($I208,Accounts!$T$12:$T$311,0))&amp;"")</f>
        <v/>
      </c>
      <c r="B208" s="30" t="str">
        <f aca="false">IF($I208="","",IF(INDEX(Accounts!$R$12:$R$311,MATCH($I208,Accounts!$T$12:$T$311,0))="Check inputs","—",INDEX(Accounts!$B$12:$B$311,MATCH($I208,Accounts!$T$12:$T$311,0))))</f>
        <v/>
      </c>
      <c r="C208" s="30" t="str">
        <f aca="false">IF($I208="","",IF(INDEX(Accounts!$R$12:$R$311,MATCH($I208,Accounts!$T$12:$T$311,0))="Check inputs","—",INDEX(Accounts!$M$12:$M$311,MATCH($I208,Accounts!$T$12:$T$311,0))))</f>
        <v/>
      </c>
      <c r="D208" s="30" t="str">
        <f aca="false">IF($I208="","",IF(INDEX(Accounts!$R$12:$R$311,MATCH($I208,Accounts!$T$12:$T$311,0))="Check inputs","—",INDEX(Accounts!$N$12:$N$311,MATCH($I208,Accounts!$T$12:$T$311,0))))</f>
        <v/>
      </c>
      <c r="E208" s="31" t="str">
        <f aca="false">IF($I208="","",IF(INDEX(Accounts!$R$12:$R$311,MATCH($I208,Accounts!$T$12:$T$311,0))="Check inputs","—",INDEX(Accounts!$O$12:$O$311,MATCH($I208,Accounts!$T$12:$T$311,0))))</f>
        <v/>
      </c>
      <c r="F208" s="30" t="str">
        <f aca="false">IF($I208="","",IF(INDEX(Accounts!$R$12:$R$311,MATCH($I208,Accounts!$T$12:$T$311,0))="Check inputs","—",INDEX(Accounts!$P$12:$P$311,MATCH($I208,Accounts!$T$12:$T$311,0))))</f>
        <v/>
      </c>
      <c r="G208" s="30" t="str">
        <f aca="false">IF($I208="","",IF(INDEX(Accounts!$R$12:$R$311,MATCH($I208,Accounts!$T$12:$T$311,0))="Check inputs","—",INDEX(Accounts!$Q$12:$Q$311,MATCH($I208,Accounts!$T$12:$T$311,0))))</f>
        <v/>
      </c>
      <c r="H208" s="32" t="str">
        <f aca="false">IF($I208="","",IF(INDEX(Accounts!$R$12:$R$311,MATCH($I208,Accounts!$T$12:$T$311,0))="Check inputs","Check inputs: "&amp;INDEX(Accounts!$S$12:$S$311,MATCH($I208,Accounts!$T$12:$T$311,0)),INDEX(Accounts!$R$12:$R$311,MATCH($I208,Accounts!$T$12:$T$311,0))))</f>
        <v/>
      </c>
      <c r="I208" s="33" t="str">
        <f aca="false">IF(200&gt;COUNT(Accounts!$T$12:$T$311),"",SMALL(Accounts!$T$12:$T$311,200))</f>
        <v/>
      </c>
    </row>
    <row r="209" customFormat="false" ht="15" hidden="false" customHeight="false" outlineLevel="0" collapsed="false">
      <c r="A209" s="22" t="str">
        <f aca="false">IF($I209="","",INDEX(Accounts!$A$12:$A$311,MATCH($I209,Accounts!$T$12:$T$311,0))&amp;"")</f>
        <v/>
      </c>
      <c r="B209" s="30" t="str">
        <f aca="false">IF($I209="","",IF(INDEX(Accounts!$R$12:$R$311,MATCH($I209,Accounts!$T$12:$T$311,0))="Check inputs","—",INDEX(Accounts!$B$12:$B$311,MATCH($I209,Accounts!$T$12:$T$311,0))))</f>
        <v/>
      </c>
      <c r="C209" s="30" t="str">
        <f aca="false">IF($I209="","",IF(INDEX(Accounts!$R$12:$R$311,MATCH($I209,Accounts!$T$12:$T$311,0))="Check inputs","—",INDEX(Accounts!$M$12:$M$311,MATCH($I209,Accounts!$T$12:$T$311,0))))</f>
        <v/>
      </c>
      <c r="D209" s="30" t="str">
        <f aca="false">IF($I209="","",IF(INDEX(Accounts!$R$12:$R$311,MATCH($I209,Accounts!$T$12:$T$311,0))="Check inputs","—",INDEX(Accounts!$N$12:$N$311,MATCH($I209,Accounts!$T$12:$T$311,0))))</f>
        <v/>
      </c>
      <c r="E209" s="31" t="str">
        <f aca="false">IF($I209="","",IF(INDEX(Accounts!$R$12:$R$311,MATCH($I209,Accounts!$T$12:$T$311,0))="Check inputs","—",INDEX(Accounts!$O$12:$O$311,MATCH($I209,Accounts!$T$12:$T$311,0))))</f>
        <v/>
      </c>
      <c r="F209" s="30" t="str">
        <f aca="false">IF($I209="","",IF(INDEX(Accounts!$R$12:$R$311,MATCH($I209,Accounts!$T$12:$T$311,0))="Check inputs","—",INDEX(Accounts!$P$12:$P$311,MATCH($I209,Accounts!$T$12:$T$311,0))))</f>
        <v/>
      </c>
      <c r="G209" s="30" t="str">
        <f aca="false">IF($I209="","",IF(INDEX(Accounts!$R$12:$R$311,MATCH($I209,Accounts!$T$12:$T$311,0))="Check inputs","—",INDEX(Accounts!$Q$12:$Q$311,MATCH($I209,Accounts!$T$12:$T$311,0))))</f>
        <v/>
      </c>
      <c r="H209" s="32" t="str">
        <f aca="false">IF($I209="","",IF(INDEX(Accounts!$R$12:$R$311,MATCH($I209,Accounts!$T$12:$T$311,0))="Check inputs","Check inputs: "&amp;INDEX(Accounts!$S$12:$S$311,MATCH($I209,Accounts!$T$12:$T$311,0)),INDEX(Accounts!$R$12:$R$311,MATCH($I209,Accounts!$T$12:$T$311,0))))</f>
        <v/>
      </c>
      <c r="I209" s="33" t="str">
        <f aca="false">IF(201&gt;COUNT(Accounts!$T$12:$T$311),"",SMALL(Accounts!$T$12:$T$311,201))</f>
        <v/>
      </c>
    </row>
    <row r="210" customFormat="false" ht="15" hidden="false" customHeight="false" outlineLevel="0" collapsed="false">
      <c r="A210" s="22" t="str">
        <f aca="false">IF($I210="","",INDEX(Accounts!$A$12:$A$311,MATCH($I210,Accounts!$T$12:$T$311,0))&amp;"")</f>
        <v/>
      </c>
      <c r="B210" s="30" t="str">
        <f aca="false">IF($I210="","",IF(INDEX(Accounts!$R$12:$R$311,MATCH($I210,Accounts!$T$12:$T$311,0))="Check inputs","—",INDEX(Accounts!$B$12:$B$311,MATCH($I210,Accounts!$T$12:$T$311,0))))</f>
        <v/>
      </c>
      <c r="C210" s="30" t="str">
        <f aca="false">IF($I210="","",IF(INDEX(Accounts!$R$12:$R$311,MATCH($I210,Accounts!$T$12:$T$311,0))="Check inputs","—",INDEX(Accounts!$M$12:$M$311,MATCH($I210,Accounts!$T$12:$T$311,0))))</f>
        <v/>
      </c>
      <c r="D210" s="30" t="str">
        <f aca="false">IF($I210="","",IF(INDEX(Accounts!$R$12:$R$311,MATCH($I210,Accounts!$T$12:$T$311,0))="Check inputs","—",INDEX(Accounts!$N$12:$N$311,MATCH($I210,Accounts!$T$12:$T$311,0))))</f>
        <v/>
      </c>
      <c r="E210" s="31" t="str">
        <f aca="false">IF($I210="","",IF(INDEX(Accounts!$R$12:$R$311,MATCH($I210,Accounts!$T$12:$T$311,0))="Check inputs","—",INDEX(Accounts!$O$12:$O$311,MATCH($I210,Accounts!$T$12:$T$311,0))))</f>
        <v/>
      </c>
      <c r="F210" s="30" t="str">
        <f aca="false">IF($I210="","",IF(INDEX(Accounts!$R$12:$R$311,MATCH($I210,Accounts!$T$12:$T$311,0))="Check inputs","—",INDEX(Accounts!$P$12:$P$311,MATCH($I210,Accounts!$T$12:$T$311,0))))</f>
        <v/>
      </c>
      <c r="G210" s="30" t="str">
        <f aca="false">IF($I210="","",IF(INDEX(Accounts!$R$12:$R$311,MATCH($I210,Accounts!$T$12:$T$311,0))="Check inputs","—",INDEX(Accounts!$Q$12:$Q$311,MATCH($I210,Accounts!$T$12:$T$311,0))))</f>
        <v/>
      </c>
      <c r="H210" s="32" t="str">
        <f aca="false">IF($I210="","",IF(INDEX(Accounts!$R$12:$R$311,MATCH($I210,Accounts!$T$12:$T$311,0))="Check inputs","Check inputs: "&amp;INDEX(Accounts!$S$12:$S$311,MATCH($I210,Accounts!$T$12:$T$311,0)),INDEX(Accounts!$R$12:$R$311,MATCH($I210,Accounts!$T$12:$T$311,0))))</f>
        <v/>
      </c>
      <c r="I210" s="33" t="str">
        <f aca="false">IF(202&gt;COUNT(Accounts!$T$12:$T$311),"",SMALL(Accounts!$T$12:$T$311,202))</f>
        <v/>
      </c>
    </row>
    <row r="211" customFormat="false" ht="15" hidden="false" customHeight="false" outlineLevel="0" collapsed="false">
      <c r="A211" s="22" t="str">
        <f aca="false">IF($I211="","",INDEX(Accounts!$A$12:$A$311,MATCH($I211,Accounts!$T$12:$T$311,0))&amp;"")</f>
        <v/>
      </c>
      <c r="B211" s="30" t="str">
        <f aca="false">IF($I211="","",IF(INDEX(Accounts!$R$12:$R$311,MATCH($I211,Accounts!$T$12:$T$311,0))="Check inputs","—",INDEX(Accounts!$B$12:$B$311,MATCH($I211,Accounts!$T$12:$T$311,0))))</f>
        <v/>
      </c>
      <c r="C211" s="30" t="str">
        <f aca="false">IF($I211="","",IF(INDEX(Accounts!$R$12:$R$311,MATCH($I211,Accounts!$T$12:$T$311,0))="Check inputs","—",INDEX(Accounts!$M$12:$M$311,MATCH($I211,Accounts!$T$12:$T$311,0))))</f>
        <v/>
      </c>
      <c r="D211" s="30" t="str">
        <f aca="false">IF($I211="","",IF(INDEX(Accounts!$R$12:$R$311,MATCH($I211,Accounts!$T$12:$T$311,0))="Check inputs","—",INDEX(Accounts!$N$12:$N$311,MATCH($I211,Accounts!$T$12:$T$311,0))))</f>
        <v/>
      </c>
      <c r="E211" s="31" t="str">
        <f aca="false">IF($I211="","",IF(INDEX(Accounts!$R$12:$R$311,MATCH($I211,Accounts!$T$12:$T$311,0))="Check inputs","—",INDEX(Accounts!$O$12:$O$311,MATCH($I211,Accounts!$T$12:$T$311,0))))</f>
        <v/>
      </c>
      <c r="F211" s="30" t="str">
        <f aca="false">IF($I211="","",IF(INDEX(Accounts!$R$12:$R$311,MATCH($I211,Accounts!$T$12:$T$311,0))="Check inputs","—",INDEX(Accounts!$P$12:$P$311,MATCH($I211,Accounts!$T$12:$T$311,0))))</f>
        <v/>
      </c>
      <c r="G211" s="30" t="str">
        <f aca="false">IF($I211="","",IF(INDEX(Accounts!$R$12:$R$311,MATCH($I211,Accounts!$T$12:$T$311,0))="Check inputs","—",INDEX(Accounts!$Q$12:$Q$311,MATCH($I211,Accounts!$T$12:$T$311,0))))</f>
        <v/>
      </c>
      <c r="H211" s="32" t="str">
        <f aca="false">IF($I211="","",IF(INDEX(Accounts!$R$12:$R$311,MATCH($I211,Accounts!$T$12:$T$311,0))="Check inputs","Check inputs: "&amp;INDEX(Accounts!$S$12:$S$311,MATCH($I211,Accounts!$T$12:$T$311,0)),INDEX(Accounts!$R$12:$R$311,MATCH($I211,Accounts!$T$12:$T$311,0))))</f>
        <v/>
      </c>
      <c r="I211" s="33" t="str">
        <f aca="false">IF(203&gt;COUNT(Accounts!$T$12:$T$311),"",SMALL(Accounts!$T$12:$T$311,203))</f>
        <v/>
      </c>
    </row>
    <row r="212" customFormat="false" ht="15" hidden="false" customHeight="false" outlineLevel="0" collapsed="false">
      <c r="A212" s="22" t="str">
        <f aca="false">IF($I212="","",INDEX(Accounts!$A$12:$A$311,MATCH($I212,Accounts!$T$12:$T$311,0))&amp;"")</f>
        <v/>
      </c>
      <c r="B212" s="30" t="str">
        <f aca="false">IF($I212="","",IF(INDEX(Accounts!$R$12:$R$311,MATCH($I212,Accounts!$T$12:$T$311,0))="Check inputs","—",INDEX(Accounts!$B$12:$B$311,MATCH($I212,Accounts!$T$12:$T$311,0))))</f>
        <v/>
      </c>
      <c r="C212" s="30" t="str">
        <f aca="false">IF($I212="","",IF(INDEX(Accounts!$R$12:$R$311,MATCH($I212,Accounts!$T$12:$T$311,0))="Check inputs","—",INDEX(Accounts!$M$12:$M$311,MATCH($I212,Accounts!$T$12:$T$311,0))))</f>
        <v/>
      </c>
      <c r="D212" s="30" t="str">
        <f aca="false">IF($I212="","",IF(INDEX(Accounts!$R$12:$R$311,MATCH($I212,Accounts!$T$12:$T$311,0))="Check inputs","—",INDEX(Accounts!$N$12:$N$311,MATCH($I212,Accounts!$T$12:$T$311,0))))</f>
        <v/>
      </c>
      <c r="E212" s="31" t="str">
        <f aca="false">IF($I212="","",IF(INDEX(Accounts!$R$12:$R$311,MATCH($I212,Accounts!$T$12:$T$311,0))="Check inputs","—",INDEX(Accounts!$O$12:$O$311,MATCH($I212,Accounts!$T$12:$T$311,0))))</f>
        <v/>
      </c>
      <c r="F212" s="30" t="str">
        <f aca="false">IF($I212="","",IF(INDEX(Accounts!$R$12:$R$311,MATCH($I212,Accounts!$T$12:$T$311,0))="Check inputs","—",INDEX(Accounts!$P$12:$P$311,MATCH($I212,Accounts!$T$12:$T$311,0))))</f>
        <v/>
      </c>
      <c r="G212" s="30" t="str">
        <f aca="false">IF($I212="","",IF(INDEX(Accounts!$R$12:$R$311,MATCH($I212,Accounts!$T$12:$T$311,0))="Check inputs","—",INDEX(Accounts!$Q$12:$Q$311,MATCH($I212,Accounts!$T$12:$T$311,0))))</f>
        <v/>
      </c>
      <c r="H212" s="32" t="str">
        <f aca="false">IF($I212="","",IF(INDEX(Accounts!$R$12:$R$311,MATCH($I212,Accounts!$T$12:$T$311,0))="Check inputs","Check inputs: "&amp;INDEX(Accounts!$S$12:$S$311,MATCH($I212,Accounts!$T$12:$T$311,0)),INDEX(Accounts!$R$12:$R$311,MATCH($I212,Accounts!$T$12:$T$311,0))))</f>
        <v/>
      </c>
      <c r="I212" s="33" t="str">
        <f aca="false">IF(204&gt;COUNT(Accounts!$T$12:$T$311),"",SMALL(Accounts!$T$12:$T$311,204))</f>
        <v/>
      </c>
    </row>
    <row r="213" customFormat="false" ht="15" hidden="false" customHeight="false" outlineLevel="0" collapsed="false">
      <c r="A213" s="22" t="str">
        <f aca="false">IF($I213="","",INDEX(Accounts!$A$12:$A$311,MATCH($I213,Accounts!$T$12:$T$311,0))&amp;"")</f>
        <v/>
      </c>
      <c r="B213" s="30" t="str">
        <f aca="false">IF($I213="","",IF(INDEX(Accounts!$R$12:$R$311,MATCH($I213,Accounts!$T$12:$T$311,0))="Check inputs","—",INDEX(Accounts!$B$12:$B$311,MATCH($I213,Accounts!$T$12:$T$311,0))))</f>
        <v/>
      </c>
      <c r="C213" s="30" t="str">
        <f aca="false">IF($I213="","",IF(INDEX(Accounts!$R$12:$R$311,MATCH($I213,Accounts!$T$12:$T$311,0))="Check inputs","—",INDEX(Accounts!$M$12:$M$311,MATCH($I213,Accounts!$T$12:$T$311,0))))</f>
        <v/>
      </c>
      <c r="D213" s="30" t="str">
        <f aca="false">IF($I213="","",IF(INDEX(Accounts!$R$12:$R$311,MATCH($I213,Accounts!$T$12:$T$311,0))="Check inputs","—",INDEX(Accounts!$N$12:$N$311,MATCH($I213,Accounts!$T$12:$T$311,0))))</f>
        <v/>
      </c>
      <c r="E213" s="31" t="str">
        <f aca="false">IF($I213="","",IF(INDEX(Accounts!$R$12:$R$311,MATCH($I213,Accounts!$T$12:$T$311,0))="Check inputs","—",INDEX(Accounts!$O$12:$O$311,MATCH($I213,Accounts!$T$12:$T$311,0))))</f>
        <v/>
      </c>
      <c r="F213" s="30" t="str">
        <f aca="false">IF($I213="","",IF(INDEX(Accounts!$R$12:$R$311,MATCH($I213,Accounts!$T$12:$T$311,0))="Check inputs","—",INDEX(Accounts!$P$12:$P$311,MATCH($I213,Accounts!$T$12:$T$311,0))))</f>
        <v/>
      </c>
      <c r="G213" s="30" t="str">
        <f aca="false">IF($I213="","",IF(INDEX(Accounts!$R$12:$R$311,MATCH($I213,Accounts!$T$12:$T$311,0))="Check inputs","—",INDEX(Accounts!$Q$12:$Q$311,MATCH($I213,Accounts!$T$12:$T$311,0))))</f>
        <v/>
      </c>
      <c r="H213" s="32" t="str">
        <f aca="false">IF($I213="","",IF(INDEX(Accounts!$R$12:$R$311,MATCH($I213,Accounts!$T$12:$T$311,0))="Check inputs","Check inputs: "&amp;INDEX(Accounts!$S$12:$S$311,MATCH($I213,Accounts!$T$12:$T$311,0)),INDEX(Accounts!$R$12:$R$311,MATCH($I213,Accounts!$T$12:$T$311,0))))</f>
        <v/>
      </c>
      <c r="I213" s="33" t="str">
        <f aca="false">IF(205&gt;COUNT(Accounts!$T$12:$T$311),"",SMALL(Accounts!$T$12:$T$311,205))</f>
        <v/>
      </c>
    </row>
    <row r="214" customFormat="false" ht="15" hidden="false" customHeight="false" outlineLevel="0" collapsed="false">
      <c r="A214" s="22" t="str">
        <f aca="false">IF($I214="","",INDEX(Accounts!$A$12:$A$311,MATCH($I214,Accounts!$T$12:$T$311,0))&amp;"")</f>
        <v/>
      </c>
      <c r="B214" s="30" t="str">
        <f aca="false">IF($I214="","",IF(INDEX(Accounts!$R$12:$R$311,MATCH($I214,Accounts!$T$12:$T$311,0))="Check inputs","—",INDEX(Accounts!$B$12:$B$311,MATCH($I214,Accounts!$T$12:$T$311,0))))</f>
        <v/>
      </c>
      <c r="C214" s="30" t="str">
        <f aca="false">IF($I214="","",IF(INDEX(Accounts!$R$12:$R$311,MATCH($I214,Accounts!$T$12:$T$311,0))="Check inputs","—",INDEX(Accounts!$M$12:$M$311,MATCH($I214,Accounts!$T$12:$T$311,0))))</f>
        <v/>
      </c>
      <c r="D214" s="30" t="str">
        <f aca="false">IF($I214="","",IF(INDEX(Accounts!$R$12:$R$311,MATCH($I214,Accounts!$T$12:$T$311,0))="Check inputs","—",INDEX(Accounts!$N$12:$N$311,MATCH($I214,Accounts!$T$12:$T$311,0))))</f>
        <v/>
      </c>
      <c r="E214" s="31" t="str">
        <f aca="false">IF($I214="","",IF(INDEX(Accounts!$R$12:$R$311,MATCH($I214,Accounts!$T$12:$T$311,0))="Check inputs","—",INDEX(Accounts!$O$12:$O$311,MATCH($I214,Accounts!$T$12:$T$311,0))))</f>
        <v/>
      </c>
      <c r="F214" s="30" t="str">
        <f aca="false">IF($I214="","",IF(INDEX(Accounts!$R$12:$R$311,MATCH($I214,Accounts!$T$12:$T$311,0))="Check inputs","—",INDEX(Accounts!$P$12:$P$311,MATCH($I214,Accounts!$T$12:$T$311,0))))</f>
        <v/>
      </c>
      <c r="G214" s="30" t="str">
        <f aca="false">IF($I214="","",IF(INDEX(Accounts!$R$12:$R$311,MATCH($I214,Accounts!$T$12:$T$311,0))="Check inputs","—",INDEX(Accounts!$Q$12:$Q$311,MATCH($I214,Accounts!$T$12:$T$311,0))))</f>
        <v/>
      </c>
      <c r="H214" s="32" t="str">
        <f aca="false">IF($I214="","",IF(INDEX(Accounts!$R$12:$R$311,MATCH($I214,Accounts!$T$12:$T$311,0))="Check inputs","Check inputs: "&amp;INDEX(Accounts!$S$12:$S$311,MATCH($I214,Accounts!$T$12:$T$311,0)),INDEX(Accounts!$R$12:$R$311,MATCH($I214,Accounts!$T$12:$T$311,0))))</f>
        <v/>
      </c>
      <c r="I214" s="33" t="str">
        <f aca="false">IF(206&gt;COUNT(Accounts!$T$12:$T$311),"",SMALL(Accounts!$T$12:$T$311,206))</f>
        <v/>
      </c>
    </row>
    <row r="215" customFormat="false" ht="15" hidden="false" customHeight="false" outlineLevel="0" collapsed="false">
      <c r="A215" s="22" t="str">
        <f aca="false">IF($I215="","",INDEX(Accounts!$A$12:$A$311,MATCH($I215,Accounts!$T$12:$T$311,0))&amp;"")</f>
        <v/>
      </c>
      <c r="B215" s="30" t="str">
        <f aca="false">IF($I215="","",IF(INDEX(Accounts!$R$12:$R$311,MATCH($I215,Accounts!$T$12:$T$311,0))="Check inputs","—",INDEX(Accounts!$B$12:$B$311,MATCH($I215,Accounts!$T$12:$T$311,0))))</f>
        <v/>
      </c>
      <c r="C215" s="30" t="str">
        <f aca="false">IF($I215="","",IF(INDEX(Accounts!$R$12:$R$311,MATCH($I215,Accounts!$T$12:$T$311,0))="Check inputs","—",INDEX(Accounts!$M$12:$M$311,MATCH($I215,Accounts!$T$12:$T$311,0))))</f>
        <v/>
      </c>
      <c r="D215" s="30" t="str">
        <f aca="false">IF($I215="","",IF(INDEX(Accounts!$R$12:$R$311,MATCH($I215,Accounts!$T$12:$T$311,0))="Check inputs","—",INDEX(Accounts!$N$12:$N$311,MATCH($I215,Accounts!$T$12:$T$311,0))))</f>
        <v/>
      </c>
      <c r="E215" s="31" t="str">
        <f aca="false">IF($I215="","",IF(INDEX(Accounts!$R$12:$R$311,MATCH($I215,Accounts!$T$12:$T$311,0))="Check inputs","—",INDEX(Accounts!$O$12:$O$311,MATCH($I215,Accounts!$T$12:$T$311,0))))</f>
        <v/>
      </c>
      <c r="F215" s="30" t="str">
        <f aca="false">IF($I215="","",IF(INDEX(Accounts!$R$12:$R$311,MATCH($I215,Accounts!$T$12:$T$311,0))="Check inputs","—",INDEX(Accounts!$P$12:$P$311,MATCH($I215,Accounts!$T$12:$T$311,0))))</f>
        <v/>
      </c>
      <c r="G215" s="30" t="str">
        <f aca="false">IF($I215="","",IF(INDEX(Accounts!$R$12:$R$311,MATCH($I215,Accounts!$T$12:$T$311,0))="Check inputs","—",INDEX(Accounts!$Q$12:$Q$311,MATCH($I215,Accounts!$T$12:$T$311,0))))</f>
        <v/>
      </c>
      <c r="H215" s="32" t="str">
        <f aca="false">IF($I215="","",IF(INDEX(Accounts!$R$12:$R$311,MATCH($I215,Accounts!$T$12:$T$311,0))="Check inputs","Check inputs: "&amp;INDEX(Accounts!$S$12:$S$311,MATCH($I215,Accounts!$T$12:$T$311,0)),INDEX(Accounts!$R$12:$R$311,MATCH($I215,Accounts!$T$12:$T$311,0))))</f>
        <v/>
      </c>
      <c r="I215" s="33" t="str">
        <f aca="false">IF(207&gt;COUNT(Accounts!$T$12:$T$311),"",SMALL(Accounts!$T$12:$T$311,207))</f>
        <v/>
      </c>
    </row>
    <row r="216" customFormat="false" ht="15" hidden="false" customHeight="false" outlineLevel="0" collapsed="false">
      <c r="A216" s="22" t="str">
        <f aca="false">IF($I216="","",INDEX(Accounts!$A$12:$A$311,MATCH($I216,Accounts!$T$12:$T$311,0))&amp;"")</f>
        <v/>
      </c>
      <c r="B216" s="30" t="str">
        <f aca="false">IF($I216="","",IF(INDEX(Accounts!$R$12:$R$311,MATCH($I216,Accounts!$T$12:$T$311,0))="Check inputs","—",INDEX(Accounts!$B$12:$B$311,MATCH($I216,Accounts!$T$12:$T$311,0))))</f>
        <v/>
      </c>
      <c r="C216" s="30" t="str">
        <f aca="false">IF($I216="","",IF(INDEX(Accounts!$R$12:$R$311,MATCH($I216,Accounts!$T$12:$T$311,0))="Check inputs","—",INDEX(Accounts!$M$12:$M$311,MATCH($I216,Accounts!$T$12:$T$311,0))))</f>
        <v/>
      </c>
      <c r="D216" s="30" t="str">
        <f aca="false">IF($I216="","",IF(INDEX(Accounts!$R$12:$R$311,MATCH($I216,Accounts!$T$12:$T$311,0))="Check inputs","—",INDEX(Accounts!$N$12:$N$311,MATCH($I216,Accounts!$T$12:$T$311,0))))</f>
        <v/>
      </c>
      <c r="E216" s="31" t="str">
        <f aca="false">IF($I216="","",IF(INDEX(Accounts!$R$12:$R$311,MATCH($I216,Accounts!$T$12:$T$311,0))="Check inputs","—",INDEX(Accounts!$O$12:$O$311,MATCH($I216,Accounts!$T$12:$T$311,0))))</f>
        <v/>
      </c>
      <c r="F216" s="30" t="str">
        <f aca="false">IF($I216="","",IF(INDEX(Accounts!$R$12:$R$311,MATCH($I216,Accounts!$T$12:$T$311,0))="Check inputs","—",INDEX(Accounts!$P$12:$P$311,MATCH($I216,Accounts!$T$12:$T$311,0))))</f>
        <v/>
      </c>
      <c r="G216" s="30" t="str">
        <f aca="false">IF($I216="","",IF(INDEX(Accounts!$R$12:$R$311,MATCH($I216,Accounts!$T$12:$T$311,0))="Check inputs","—",INDEX(Accounts!$Q$12:$Q$311,MATCH($I216,Accounts!$T$12:$T$311,0))))</f>
        <v/>
      </c>
      <c r="H216" s="32" t="str">
        <f aca="false">IF($I216="","",IF(INDEX(Accounts!$R$12:$R$311,MATCH($I216,Accounts!$T$12:$T$311,0))="Check inputs","Check inputs: "&amp;INDEX(Accounts!$S$12:$S$311,MATCH($I216,Accounts!$T$12:$T$311,0)),INDEX(Accounts!$R$12:$R$311,MATCH($I216,Accounts!$T$12:$T$311,0))))</f>
        <v/>
      </c>
      <c r="I216" s="33" t="str">
        <f aca="false">IF(208&gt;COUNT(Accounts!$T$12:$T$311),"",SMALL(Accounts!$T$12:$T$311,208))</f>
        <v/>
      </c>
    </row>
    <row r="217" customFormat="false" ht="15" hidden="false" customHeight="false" outlineLevel="0" collapsed="false">
      <c r="A217" s="22" t="str">
        <f aca="false">IF($I217="","",INDEX(Accounts!$A$12:$A$311,MATCH($I217,Accounts!$T$12:$T$311,0))&amp;"")</f>
        <v/>
      </c>
      <c r="B217" s="30" t="str">
        <f aca="false">IF($I217="","",IF(INDEX(Accounts!$R$12:$R$311,MATCH($I217,Accounts!$T$12:$T$311,0))="Check inputs","—",INDEX(Accounts!$B$12:$B$311,MATCH($I217,Accounts!$T$12:$T$311,0))))</f>
        <v/>
      </c>
      <c r="C217" s="30" t="str">
        <f aca="false">IF($I217="","",IF(INDEX(Accounts!$R$12:$R$311,MATCH($I217,Accounts!$T$12:$T$311,0))="Check inputs","—",INDEX(Accounts!$M$12:$M$311,MATCH($I217,Accounts!$T$12:$T$311,0))))</f>
        <v/>
      </c>
      <c r="D217" s="30" t="str">
        <f aca="false">IF($I217="","",IF(INDEX(Accounts!$R$12:$R$311,MATCH($I217,Accounts!$T$12:$T$311,0))="Check inputs","—",INDEX(Accounts!$N$12:$N$311,MATCH($I217,Accounts!$T$12:$T$311,0))))</f>
        <v/>
      </c>
      <c r="E217" s="31" t="str">
        <f aca="false">IF($I217="","",IF(INDEX(Accounts!$R$12:$R$311,MATCH($I217,Accounts!$T$12:$T$311,0))="Check inputs","—",INDEX(Accounts!$O$12:$O$311,MATCH($I217,Accounts!$T$12:$T$311,0))))</f>
        <v/>
      </c>
      <c r="F217" s="30" t="str">
        <f aca="false">IF($I217="","",IF(INDEX(Accounts!$R$12:$R$311,MATCH($I217,Accounts!$T$12:$T$311,0))="Check inputs","—",INDEX(Accounts!$P$12:$P$311,MATCH($I217,Accounts!$T$12:$T$311,0))))</f>
        <v/>
      </c>
      <c r="G217" s="30" t="str">
        <f aca="false">IF($I217="","",IF(INDEX(Accounts!$R$12:$R$311,MATCH($I217,Accounts!$T$12:$T$311,0))="Check inputs","—",INDEX(Accounts!$Q$12:$Q$311,MATCH($I217,Accounts!$T$12:$T$311,0))))</f>
        <v/>
      </c>
      <c r="H217" s="32" t="str">
        <f aca="false">IF($I217="","",IF(INDEX(Accounts!$R$12:$R$311,MATCH($I217,Accounts!$T$12:$T$311,0))="Check inputs","Check inputs: "&amp;INDEX(Accounts!$S$12:$S$311,MATCH($I217,Accounts!$T$12:$T$311,0)),INDEX(Accounts!$R$12:$R$311,MATCH($I217,Accounts!$T$12:$T$311,0))))</f>
        <v/>
      </c>
      <c r="I217" s="33" t="str">
        <f aca="false">IF(209&gt;COUNT(Accounts!$T$12:$T$311),"",SMALL(Accounts!$T$12:$T$311,209))</f>
        <v/>
      </c>
    </row>
    <row r="218" customFormat="false" ht="15" hidden="false" customHeight="false" outlineLevel="0" collapsed="false">
      <c r="A218" s="22" t="str">
        <f aca="false">IF($I218="","",INDEX(Accounts!$A$12:$A$311,MATCH($I218,Accounts!$T$12:$T$311,0))&amp;"")</f>
        <v/>
      </c>
      <c r="B218" s="30" t="str">
        <f aca="false">IF($I218="","",IF(INDEX(Accounts!$R$12:$R$311,MATCH($I218,Accounts!$T$12:$T$311,0))="Check inputs","—",INDEX(Accounts!$B$12:$B$311,MATCH($I218,Accounts!$T$12:$T$311,0))))</f>
        <v/>
      </c>
      <c r="C218" s="30" t="str">
        <f aca="false">IF($I218="","",IF(INDEX(Accounts!$R$12:$R$311,MATCH($I218,Accounts!$T$12:$T$311,0))="Check inputs","—",INDEX(Accounts!$M$12:$M$311,MATCH($I218,Accounts!$T$12:$T$311,0))))</f>
        <v/>
      </c>
      <c r="D218" s="30" t="str">
        <f aca="false">IF($I218="","",IF(INDEX(Accounts!$R$12:$R$311,MATCH($I218,Accounts!$T$12:$T$311,0))="Check inputs","—",INDEX(Accounts!$N$12:$N$311,MATCH($I218,Accounts!$T$12:$T$311,0))))</f>
        <v/>
      </c>
      <c r="E218" s="31" t="str">
        <f aca="false">IF($I218="","",IF(INDEX(Accounts!$R$12:$R$311,MATCH($I218,Accounts!$T$12:$T$311,0))="Check inputs","—",INDEX(Accounts!$O$12:$O$311,MATCH($I218,Accounts!$T$12:$T$311,0))))</f>
        <v/>
      </c>
      <c r="F218" s="30" t="str">
        <f aca="false">IF($I218="","",IF(INDEX(Accounts!$R$12:$R$311,MATCH($I218,Accounts!$T$12:$T$311,0))="Check inputs","—",INDEX(Accounts!$P$12:$P$311,MATCH($I218,Accounts!$T$12:$T$311,0))))</f>
        <v/>
      </c>
      <c r="G218" s="30" t="str">
        <f aca="false">IF($I218="","",IF(INDEX(Accounts!$R$12:$R$311,MATCH($I218,Accounts!$T$12:$T$311,0))="Check inputs","—",INDEX(Accounts!$Q$12:$Q$311,MATCH($I218,Accounts!$T$12:$T$311,0))))</f>
        <v/>
      </c>
      <c r="H218" s="32" t="str">
        <f aca="false">IF($I218="","",IF(INDEX(Accounts!$R$12:$R$311,MATCH($I218,Accounts!$T$12:$T$311,0))="Check inputs","Check inputs: "&amp;INDEX(Accounts!$S$12:$S$311,MATCH($I218,Accounts!$T$12:$T$311,0)),INDEX(Accounts!$R$12:$R$311,MATCH($I218,Accounts!$T$12:$T$311,0))))</f>
        <v/>
      </c>
      <c r="I218" s="33" t="str">
        <f aca="false">IF(210&gt;COUNT(Accounts!$T$12:$T$311),"",SMALL(Accounts!$T$12:$T$311,210))</f>
        <v/>
      </c>
    </row>
    <row r="219" customFormat="false" ht="15" hidden="false" customHeight="false" outlineLevel="0" collapsed="false">
      <c r="A219" s="22" t="str">
        <f aca="false">IF($I219="","",INDEX(Accounts!$A$12:$A$311,MATCH($I219,Accounts!$T$12:$T$311,0))&amp;"")</f>
        <v/>
      </c>
      <c r="B219" s="30" t="str">
        <f aca="false">IF($I219="","",IF(INDEX(Accounts!$R$12:$R$311,MATCH($I219,Accounts!$T$12:$T$311,0))="Check inputs","—",INDEX(Accounts!$B$12:$B$311,MATCH($I219,Accounts!$T$12:$T$311,0))))</f>
        <v/>
      </c>
      <c r="C219" s="30" t="str">
        <f aca="false">IF($I219="","",IF(INDEX(Accounts!$R$12:$R$311,MATCH($I219,Accounts!$T$12:$T$311,0))="Check inputs","—",INDEX(Accounts!$M$12:$M$311,MATCH($I219,Accounts!$T$12:$T$311,0))))</f>
        <v/>
      </c>
      <c r="D219" s="30" t="str">
        <f aca="false">IF($I219="","",IF(INDEX(Accounts!$R$12:$R$311,MATCH($I219,Accounts!$T$12:$T$311,0))="Check inputs","—",INDEX(Accounts!$N$12:$N$311,MATCH($I219,Accounts!$T$12:$T$311,0))))</f>
        <v/>
      </c>
      <c r="E219" s="31" t="str">
        <f aca="false">IF($I219="","",IF(INDEX(Accounts!$R$12:$R$311,MATCH($I219,Accounts!$T$12:$T$311,0))="Check inputs","—",INDEX(Accounts!$O$12:$O$311,MATCH($I219,Accounts!$T$12:$T$311,0))))</f>
        <v/>
      </c>
      <c r="F219" s="30" t="str">
        <f aca="false">IF($I219="","",IF(INDEX(Accounts!$R$12:$R$311,MATCH($I219,Accounts!$T$12:$T$311,0))="Check inputs","—",INDEX(Accounts!$P$12:$P$311,MATCH($I219,Accounts!$T$12:$T$311,0))))</f>
        <v/>
      </c>
      <c r="G219" s="30" t="str">
        <f aca="false">IF($I219="","",IF(INDEX(Accounts!$R$12:$R$311,MATCH($I219,Accounts!$T$12:$T$311,0))="Check inputs","—",INDEX(Accounts!$Q$12:$Q$311,MATCH($I219,Accounts!$T$12:$T$311,0))))</f>
        <v/>
      </c>
      <c r="H219" s="32" t="str">
        <f aca="false">IF($I219="","",IF(INDEX(Accounts!$R$12:$R$311,MATCH($I219,Accounts!$T$12:$T$311,0))="Check inputs","Check inputs: "&amp;INDEX(Accounts!$S$12:$S$311,MATCH($I219,Accounts!$T$12:$T$311,0)),INDEX(Accounts!$R$12:$R$311,MATCH($I219,Accounts!$T$12:$T$311,0))))</f>
        <v/>
      </c>
      <c r="I219" s="33" t="str">
        <f aca="false">IF(211&gt;COUNT(Accounts!$T$12:$T$311),"",SMALL(Accounts!$T$12:$T$311,211))</f>
        <v/>
      </c>
    </row>
    <row r="220" customFormat="false" ht="15" hidden="false" customHeight="false" outlineLevel="0" collapsed="false">
      <c r="A220" s="22" t="str">
        <f aca="false">IF($I220="","",INDEX(Accounts!$A$12:$A$311,MATCH($I220,Accounts!$T$12:$T$311,0))&amp;"")</f>
        <v/>
      </c>
      <c r="B220" s="30" t="str">
        <f aca="false">IF($I220="","",IF(INDEX(Accounts!$R$12:$R$311,MATCH($I220,Accounts!$T$12:$T$311,0))="Check inputs","—",INDEX(Accounts!$B$12:$B$311,MATCH($I220,Accounts!$T$12:$T$311,0))))</f>
        <v/>
      </c>
      <c r="C220" s="30" t="str">
        <f aca="false">IF($I220="","",IF(INDEX(Accounts!$R$12:$R$311,MATCH($I220,Accounts!$T$12:$T$311,0))="Check inputs","—",INDEX(Accounts!$M$12:$M$311,MATCH($I220,Accounts!$T$12:$T$311,0))))</f>
        <v/>
      </c>
      <c r="D220" s="30" t="str">
        <f aca="false">IF($I220="","",IF(INDEX(Accounts!$R$12:$R$311,MATCH($I220,Accounts!$T$12:$T$311,0))="Check inputs","—",INDEX(Accounts!$N$12:$N$311,MATCH($I220,Accounts!$T$12:$T$311,0))))</f>
        <v/>
      </c>
      <c r="E220" s="31" t="str">
        <f aca="false">IF($I220="","",IF(INDEX(Accounts!$R$12:$R$311,MATCH($I220,Accounts!$T$12:$T$311,0))="Check inputs","—",INDEX(Accounts!$O$12:$O$311,MATCH($I220,Accounts!$T$12:$T$311,0))))</f>
        <v/>
      </c>
      <c r="F220" s="30" t="str">
        <f aca="false">IF($I220="","",IF(INDEX(Accounts!$R$12:$R$311,MATCH($I220,Accounts!$T$12:$T$311,0))="Check inputs","—",INDEX(Accounts!$P$12:$P$311,MATCH($I220,Accounts!$T$12:$T$311,0))))</f>
        <v/>
      </c>
      <c r="G220" s="30" t="str">
        <f aca="false">IF($I220="","",IF(INDEX(Accounts!$R$12:$R$311,MATCH($I220,Accounts!$T$12:$T$311,0))="Check inputs","—",INDEX(Accounts!$Q$12:$Q$311,MATCH($I220,Accounts!$T$12:$T$311,0))))</f>
        <v/>
      </c>
      <c r="H220" s="32" t="str">
        <f aca="false">IF($I220="","",IF(INDEX(Accounts!$R$12:$R$311,MATCH($I220,Accounts!$T$12:$T$311,0))="Check inputs","Check inputs: "&amp;INDEX(Accounts!$S$12:$S$311,MATCH($I220,Accounts!$T$12:$T$311,0)),INDEX(Accounts!$R$12:$R$311,MATCH($I220,Accounts!$T$12:$T$311,0))))</f>
        <v/>
      </c>
      <c r="I220" s="33" t="str">
        <f aca="false">IF(212&gt;COUNT(Accounts!$T$12:$T$311),"",SMALL(Accounts!$T$12:$T$311,212))</f>
        <v/>
      </c>
    </row>
    <row r="221" customFormat="false" ht="15" hidden="false" customHeight="false" outlineLevel="0" collapsed="false">
      <c r="A221" s="22" t="str">
        <f aca="false">IF($I221="","",INDEX(Accounts!$A$12:$A$311,MATCH($I221,Accounts!$T$12:$T$311,0))&amp;"")</f>
        <v/>
      </c>
      <c r="B221" s="30" t="str">
        <f aca="false">IF($I221="","",IF(INDEX(Accounts!$R$12:$R$311,MATCH($I221,Accounts!$T$12:$T$311,0))="Check inputs","—",INDEX(Accounts!$B$12:$B$311,MATCH($I221,Accounts!$T$12:$T$311,0))))</f>
        <v/>
      </c>
      <c r="C221" s="30" t="str">
        <f aca="false">IF($I221="","",IF(INDEX(Accounts!$R$12:$R$311,MATCH($I221,Accounts!$T$12:$T$311,0))="Check inputs","—",INDEX(Accounts!$M$12:$M$311,MATCH($I221,Accounts!$T$12:$T$311,0))))</f>
        <v/>
      </c>
      <c r="D221" s="30" t="str">
        <f aca="false">IF($I221="","",IF(INDEX(Accounts!$R$12:$R$311,MATCH($I221,Accounts!$T$12:$T$311,0))="Check inputs","—",INDEX(Accounts!$N$12:$N$311,MATCH($I221,Accounts!$T$12:$T$311,0))))</f>
        <v/>
      </c>
      <c r="E221" s="31" t="str">
        <f aca="false">IF($I221="","",IF(INDEX(Accounts!$R$12:$R$311,MATCH($I221,Accounts!$T$12:$T$311,0))="Check inputs","—",INDEX(Accounts!$O$12:$O$311,MATCH($I221,Accounts!$T$12:$T$311,0))))</f>
        <v/>
      </c>
      <c r="F221" s="30" t="str">
        <f aca="false">IF($I221="","",IF(INDEX(Accounts!$R$12:$R$311,MATCH($I221,Accounts!$T$12:$T$311,0))="Check inputs","—",INDEX(Accounts!$P$12:$P$311,MATCH($I221,Accounts!$T$12:$T$311,0))))</f>
        <v/>
      </c>
      <c r="G221" s="30" t="str">
        <f aca="false">IF($I221="","",IF(INDEX(Accounts!$R$12:$R$311,MATCH($I221,Accounts!$T$12:$T$311,0))="Check inputs","—",INDEX(Accounts!$Q$12:$Q$311,MATCH($I221,Accounts!$T$12:$T$311,0))))</f>
        <v/>
      </c>
      <c r="H221" s="32" t="str">
        <f aca="false">IF($I221="","",IF(INDEX(Accounts!$R$12:$R$311,MATCH($I221,Accounts!$T$12:$T$311,0))="Check inputs","Check inputs: "&amp;INDEX(Accounts!$S$12:$S$311,MATCH($I221,Accounts!$T$12:$T$311,0)),INDEX(Accounts!$R$12:$R$311,MATCH($I221,Accounts!$T$12:$T$311,0))))</f>
        <v/>
      </c>
      <c r="I221" s="33" t="str">
        <f aca="false">IF(213&gt;COUNT(Accounts!$T$12:$T$311),"",SMALL(Accounts!$T$12:$T$311,213))</f>
        <v/>
      </c>
    </row>
    <row r="222" customFormat="false" ht="15" hidden="false" customHeight="false" outlineLevel="0" collapsed="false">
      <c r="A222" s="22" t="str">
        <f aca="false">IF($I222="","",INDEX(Accounts!$A$12:$A$311,MATCH($I222,Accounts!$T$12:$T$311,0))&amp;"")</f>
        <v/>
      </c>
      <c r="B222" s="30" t="str">
        <f aca="false">IF($I222="","",IF(INDEX(Accounts!$R$12:$R$311,MATCH($I222,Accounts!$T$12:$T$311,0))="Check inputs","—",INDEX(Accounts!$B$12:$B$311,MATCH($I222,Accounts!$T$12:$T$311,0))))</f>
        <v/>
      </c>
      <c r="C222" s="30" t="str">
        <f aca="false">IF($I222="","",IF(INDEX(Accounts!$R$12:$R$311,MATCH($I222,Accounts!$T$12:$T$311,0))="Check inputs","—",INDEX(Accounts!$M$12:$M$311,MATCH($I222,Accounts!$T$12:$T$311,0))))</f>
        <v/>
      </c>
      <c r="D222" s="30" t="str">
        <f aca="false">IF($I222="","",IF(INDEX(Accounts!$R$12:$R$311,MATCH($I222,Accounts!$T$12:$T$311,0))="Check inputs","—",INDEX(Accounts!$N$12:$N$311,MATCH($I222,Accounts!$T$12:$T$311,0))))</f>
        <v/>
      </c>
      <c r="E222" s="31" t="str">
        <f aca="false">IF($I222="","",IF(INDEX(Accounts!$R$12:$R$311,MATCH($I222,Accounts!$T$12:$T$311,0))="Check inputs","—",INDEX(Accounts!$O$12:$O$311,MATCH($I222,Accounts!$T$12:$T$311,0))))</f>
        <v/>
      </c>
      <c r="F222" s="30" t="str">
        <f aca="false">IF($I222="","",IF(INDEX(Accounts!$R$12:$R$311,MATCH($I222,Accounts!$T$12:$T$311,0))="Check inputs","—",INDEX(Accounts!$P$12:$P$311,MATCH($I222,Accounts!$T$12:$T$311,0))))</f>
        <v/>
      </c>
      <c r="G222" s="30" t="str">
        <f aca="false">IF($I222="","",IF(INDEX(Accounts!$R$12:$R$311,MATCH($I222,Accounts!$T$12:$T$311,0))="Check inputs","—",INDEX(Accounts!$Q$12:$Q$311,MATCH($I222,Accounts!$T$12:$T$311,0))))</f>
        <v/>
      </c>
      <c r="H222" s="32" t="str">
        <f aca="false">IF($I222="","",IF(INDEX(Accounts!$R$12:$R$311,MATCH($I222,Accounts!$T$12:$T$311,0))="Check inputs","Check inputs: "&amp;INDEX(Accounts!$S$12:$S$311,MATCH($I222,Accounts!$T$12:$T$311,0)),INDEX(Accounts!$R$12:$R$311,MATCH($I222,Accounts!$T$12:$T$311,0))))</f>
        <v/>
      </c>
      <c r="I222" s="33" t="str">
        <f aca="false">IF(214&gt;COUNT(Accounts!$T$12:$T$311),"",SMALL(Accounts!$T$12:$T$311,214))</f>
        <v/>
      </c>
    </row>
    <row r="223" customFormat="false" ht="15" hidden="false" customHeight="false" outlineLevel="0" collapsed="false">
      <c r="A223" s="22" t="str">
        <f aca="false">IF($I223="","",INDEX(Accounts!$A$12:$A$311,MATCH($I223,Accounts!$T$12:$T$311,0))&amp;"")</f>
        <v/>
      </c>
      <c r="B223" s="30" t="str">
        <f aca="false">IF($I223="","",IF(INDEX(Accounts!$R$12:$R$311,MATCH($I223,Accounts!$T$12:$T$311,0))="Check inputs","—",INDEX(Accounts!$B$12:$B$311,MATCH($I223,Accounts!$T$12:$T$311,0))))</f>
        <v/>
      </c>
      <c r="C223" s="30" t="str">
        <f aca="false">IF($I223="","",IF(INDEX(Accounts!$R$12:$R$311,MATCH($I223,Accounts!$T$12:$T$311,0))="Check inputs","—",INDEX(Accounts!$M$12:$M$311,MATCH($I223,Accounts!$T$12:$T$311,0))))</f>
        <v/>
      </c>
      <c r="D223" s="30" t="str">
        <f aca="false">IF($I223="","",IF(INDEX(Accounts!$R$12:$R$311,MATCH($I223,Accounts!$T$12:$T$311,0))="Check inputs","—",INDEX(Accounts!$N$12:$N$311,MATCH($I223,Accounts!$T$12:$T$311,0))))</f>
        <v/>
      </c>
      <c r="E223" s="31" t="str">
        <f aca="false">IF($I223="","",IF(INDEX(Accounts!$R$12:$R$311,MATCH($I223,Accounts!$T$12:$T$311,0))="Check inputs","—",INDEX(Accounts!$O$12:$O$311,MATCH($I223,Accounts!$T$12:$T$311,0))))</f>
        <v/>
      </c>
      <c r="F223" s="30" t="str">
        <f aca="false">IF($I223="","",IF(INDEX(Accounts!$R$12:$R$311,MATCH($I223,Accounts!$T$12:$T$311,0))="Check inputs","—",INDEX(Accounts!$P$12:$P$311,MATCH($I223,Accounts!$T$12:$T$311,0))))</f>
        <v/>
      </c>
      <c r="G223" s="30" t="str">
        <f aca="false">IF($I223="","",IF(INDEX(Accounts!$R$12:$R$311,MATCH($I223,Accounts!$T$12:$T$311,0))="Check inputs","—",INDEX(Accounts!$Q$12:$Q$311,MATCH($I223,Accounts!$T$12:$T$311,0))))</f>
        <v/>
      </c>
      <c r="H223" s="32" t="str">
        <f aca="false">IF($I223="","",IF(INDEX(Accounts!$R$12:$R$311,MATCH($I223,Accounts!$T$12:$T$311,0))="Check inputs","Check inputs: "&amp;INDEX(Accounts!$S$12:$S$311,MATCH($I223,Accounts!$T$12:$T$311,0)),INDEX(Accounts!$R$12:$R$311,MATCH($I223,Accounts!$T$12:$T$311,0))))</f>
        <v/>
      </c>
      <c r="I223" s="33" t="str">
        <f aca="false">IF(215&gt;COUNT(Accounts!$T$12:$T$311),"",SMALL(Accounts!$T$12:$T$311,215))</f>
        <v/>
      </c>
    </row>
    <row r="224" customFormat="false" ht="15" hidden="false" customHeight="false" outlineLevel="0" collapsed="false">
      <c r="A224" s="22" t="str">
        <f aca="false">IF($I224="","",INDEX(Accounts!$A$12:$A$311,MATCH($I224,Accounts!$T$12:$T$311,0))&amp;"")</f>
        <v/>
      </c>
      <c r="B224" s="30" t="str">
        <f aca="false">IF($I224="","",IF(INDEX(Accounts!$R$12:$R$311,MATCH($I224,Accounts!$T$12:$T$311,0))="Check inputs","—",INDEX(Accounts!$B$12:$B$311,MATCH($I224,Accounts!$T$12:$T$311,0))))</f>
        <v/>
      </c>
      <c r="C224" s="30" t="str">
        <f aca="false">IF($I224="","",IF(INDEX(Accounts!$R$12:$R$311,MATCH($I224,Accounts!$T$12:$T$311,0))="Check inputs","—",INDEX(Accounts!$M$12:$M$311,MATCH($I224,Accounts!$T$12:$T$311,0))))</f>
        <v/>
      </c>
      <c r="D224" s="30" t="str">
        <f aca="false">IF($I224="","",IF(INDEX(Accounts!$R$12:$R$311,MATCH($I224,Accounts!$T$12:$T$311,0))="Check inputs","—",INDEX(Accounts!$N$12:$N$311,MATCH($I224,Accounts!$T$12:$T$311,0))))</f>
        <v/>
      </c>
      <c r="E224" s="31" t="str">
        <f aca="false">IF($I224="","",IF(INDEX(Accounts!$R$12:$R$311,MATCH($I224,Accounts!$T$12:$T$311,0))="Check inputs","—",INDEX(Accounts!$O$12:$O$311,MATCH($I224,Accounts!$T$12:$T$311,0))))</f>
        <v/>
      </c>
      <c r="F224" s="30" t="str">
        <f aca="false">IF($I224="","",IF(INDEX(Accounts!$R$12:$R$311,MATCH($I224,Accounts!$T$12:$T$311,0))="Check inputs","—",INDEX(Accounts!$P$12:$P$311,MATCH($I224,Accounts!$T$12:$T$311,0))))</f>
        <v/>
      </c>
      <c r="G224" s="30" t="str">
        <f aca="false">IF($I224="","",IF(INDEX(Accounts!$R$12:$R$311,MATCH($I224,Accounts!$T$12:$T$311,0))="Check inputs","—",INDEX(Accounts!$Q$12:$Q$311,MATCH($I224,Accounts!$T$12:$T$311,0))))</f>
        <v/>
      </c>
      <c r="H224" s="32" t="str">
        <f aca="false">IF($I224="","",IF(INDEX(Accounts!$R$12:$R$311,MATCH($I224,Accounts!$T$12:$T$311,0))="Check inputs","Check inputs: "&amp;INDEX(Accounts!$S$12:$S$311,MATCH($I224,Accounts!$T$12:$T$311,0)),INDEX(Accounts!$R$12:$R$311,MATCH($I224,Accounts!$T$12:$T$311,0))))</f>
        <v/>
      </c>
      <c r="I224" s="33" t="str">
        <f aca="false">IF(216&gt;COUNT(Accounts!$T$12:$T$311),"",SMALL(Accounts!$T$12:$T$311,216))</f>
        <v/>
      </c>
    </row>
    <row r="225" customFormat="false" ht="15" hidden="false" customHeight="false" outlineLevel="0" collapsed="false">
      <c r="A225" s="22" t="str">
        <f aca="false">IF($I225="","",INDEX(Accounts!$A$12:$A$311,MATCH($I225,Accounts!$T$12:$T$311,0))&amp;"")</f>
        <v/>
      </c>
      <c r="B225" s="30" t="str">
        <f aca="false">IF($I225="","",IF(INDEX(Accounts!$R$12:$R$311,MATCH($I225,Accounts!$T$12:$T$311,0))="Check inputs","—",INDEX(Accounts!$B$12:$B$311,MATCH($I225,Accounts!$T$12:$T$311,0))))</f>
        <v/>
      </c>
      <c r="C225" s="30" t="str">
        <f aca="false">IF($I225="","",IF(INDEX(Accounts!$R$12:$R$311,MATCH($I225,Accounts!$T$12:$T$311,0))="Check inputs","—",INDEX(Accounts!$M$12:$M$311,MATCH($I225,Accounts!$T$12:$T$311,0))))</f>
        <v/>
      </c>
      <c r="D225" s="30" t="str">
        <f aca="false">IF($I225="","",IF(INDEX(Accounts!$R$12:$R$311,MATCH($I225,Accounts!$T$12:$T$311,0))="Check inputs","—",INDEX(Accounts!$N$12:$N$311,MATCH($I225,Accounts!$T$12:$T$311,0))))</f>
        <v/>
      </c>
      <c r="E225" s="31" t="str">
        <f aca="false">IF($I225="","",IF(INDEX(Accounts!$R$12:$R$311,MATCH($I225,Accounts!$T$12:$T$311,0))="Check inputs","—",INDEX(Accounts!$O$12:$O$311,MATCH($I225,Accounts!$T$12:$T$311,0))))</f>
        <v/>
      </c>
      <c r="F225" s="30" t="str">
        <f aca="false">IF($I225="","",IF(INDEX(Accounts!$R$12:$R$311,MATCH($I225,Accounts!$T$12:$T$311,0))="Check inputs","—",INDEX(Accounts!$P$12:$P$311,MATCH($I225,Accounts!$T$12:$T$311,0))))</f>
        <v/>
      </c>
      <c r="G225" s="30" t="str">
        <f aca="false">IF($I225="","",IF(INDEX(Accounts!$R$12:$R$311,MATCH($I225,Accounts!$T$12:$T$311,0))="Check inputs","—",INDEX(Accounts!$Q$12:$Q$311,MATCH($I225,Accounts!$T$12:$T$311,0))))</f>
        <v/>
      </c>
      <c r="H225" s="32" t="str">
        <f aca="false">IF($I225="","",IF(INDEX(Accounts!$R$12:$R$311,MATCH($I225,Accounts!$T$12:$T$311,0))="Check inputs","Check inputs: "&amp;INDEX(Accounts!$S$12:$S$311,MATCH($I225,Accounts!$T$12:$T$311,0)),INDEX(Accounts!$R$12:$R$311,MATCH($I225,Accounts!$T$12:$T$311,0))))</f>
        <v/>
      </c>
      <c r="I225" s="33" t="str">
        <f aca="false">IF(217&gt;COUNT(Accounts!$T$12:$T$311),"",SMALL(Accounts!$T$12:$T$311,217))</f>
        <v/>
      </c>
    </row>
    <row r="226" customFormat="false" ht="15" hidden="false" customHeight="false" outlineLevel="0" collapsed="false">
      <c r="A226" s="22" t="str">
        <f aca="false">IF($I226="","",INDEX(Accounts!$A$12:$A$311,MATCH($I226,Accounts!$T$12:$T$311,0))&amp;"")</f>
        <v/>
      </c>
      <c r="B226" s="30" t="str">
        <f aca="false">IF($I226="","",IF(INDEX(Accounts!$R$12:$R$311,MATCH($I226,Accounts!$T$12:$T$311,0))="Check inputs","—",INDEX(Accounts!$B$12:$B$311,MATCH($I226,Accounts!$T$12:$T$311,0))))</f>
        <v/>
      </c>
      <c r="C226" s="30" t="str">
        <f aca="false">IF($I226="","",IF(INDEX(Accounts!$R$12:$R$311,MATCH($I226,Accounts!$T$12:$T$311,0))="Check inputs","—",INDEX(Accounts!$M$12:$M$311,MATCH($I226,Accounts!$T$12:$T$311,0))))</f>
        <v/>
      </c>
      <c r="D226" s="30" t="str">
        <f aca="false">IF($I226="","",IF(INDEX(Accounts!$R$12:$R$311,MATCH($I226,Accounts!$T$12:$T$311,0))="Check inputs","—",INDEX(Accounts!$N$12:$N$311,MATCH($I226,Accounts!$T$12:$T$311,0))))</f>
        <v/>
      </c>
      <c r="E226" s="31" t="str">
        <f aca="false">IF($I226="","",IF(INDEX(Accounts!$R$12:$R$311,MATCH($I226,Accounts!$T$12:$T$311,0))="Check inputs","—",INDEX(Accounts!$O$12:$O$311,MATCH($I226,Accounts!$T$12:$T$311,0))))</f>
        <v/>
      </c>
      <c r="F226" s="30" t="str">
        <f aca="false">IF($I226="","",IF(INDEX(Accounts!$R$12:$R$311,MATCH($I226,Accounts!$T$12:$T$311,0))="Check inputs","—",INDEX(Accounts!$P$12:$P$311,MATCH($I226,Accounts!$T$12:$T$311,0))))</f>
        <v/>
      </c>
      <c r="G226" s="30" t="str">
        <f aca="false">IF($I226="","",IF(INDEX(Accounts!$R$12:$R$311,MATCH($I226,Accounts!$T$12:$T$311,0))="Check inputs","—",INDEX(Accounts!$Q$12:$Q$311,MATCH($I226,Accounts!$T$12:$T$311,0))))</f>
        <v/>
      </c>
      <c r="H226" s="32" t="str">
        <f aca="false">IF($I226="","",IF(INDEX(Accounts!$R$12:$R$311,MATCH($I226,Accounts!$T$12:$T$311,0))="Check inputs","Check inputs: "&amp;INDEX(Accounts!$S$12:$S$311,MATCH($I226,Accounts!$T$12:$T$311,0)),INDEX(Accounts!$R$12:$R$311,MATCH($I226,Accounts!$T$12:$T$311,0))))</f>
        <v/>
      </c>
      <c r="I226" s="33" t="str">
        <f aca="false">IF(218&gt;COUNT(Accounts!$T$12:$T$311),"",SMALL(Accounts!$T$12:$T$311,218))</f>
        <v/>
      </c>
    </row>
    <row r="227" customFormat="false" ht="15" hidden="false" customHeight="false" outlineLevel="0" collapsed="false">
      <c r="A227" s="22" t="str">
        <f aca="false">IF($I227="","",INDEX(Accounts!$A$12:$A$311,MATCH($I227,Accounts!$T$12:$T$311,0))&amp;"")</f>
        <v/>
      </c>
      <c r="B227" s="30" t="str">
        <f aca="false">IF($I227="","",IF(INDEX(Accounts!$R$12:$R$311,MATCH($I227,Accounts!$T$12:$T$311,0))="Check inputs","—",INDEX(Accounts!$B$12:$B$311,MATCH($I227,Accounts!$T$12:$T$311,0))))</f>
        <v/>
      </c>
      <c r="C227" s="30" t="str">
        <f aca="false">IF($I227="","",IF(INDEX(Accounts!$R$12:$R$311,MATCH($I227,Accounts!$T$12:$T$311,0))="Check inputs","—",INDEX(Accounts!$M$12:$M$311,MATCH($I227,Accounts!$T$12:$T$311,0))))</f>
        <v/>
      </c>
      <c r="D227" s="30" t="str">
        <f aca="false">IF($I227="","",IF(INDEX(Accounts!$R$12:$R$311,MATCH($I227,Accounts!$T$12:$T$311,0))="Check inputs","—",INDEX(Accounts!$N$12:$N$311,MATCH($I227,Accounts!$T$12:$T$311,0))))</f>
        <v/>
      </c>
      <c r="E227" s="31" t="str">
        <f aca="false">IF($I227="","",IF(INDEX(Accounts!$R$12:$R$311,MATCH($I227,Accounts!$T$12:$T$311,0))="Check inputs","—",INDEX(Accounts!$O$12:$O$311,MATCH($I227,Accounts!$T$12:$T$311,0))))</f>
        <v/>
      </c>
      <c r="F227" s="30" t="str">
        <f aca="false">IF($I227="","",IF(INDEX(Accounts!$R$12:$R$311,MATCH($I227,Accounts!$T$12:$T$311,0))="Check inputs","—",INDEX(Accounts!$P$12:$P$311,MATCH($I227,Accounts!$T$12:$T$311,0))))</f>
        <v/>
      </c>
      <c r="G227" s="30" t="str">
        <f aca="false">IF($I227="","",IF(INDEX(Accounts!$R$12:$R$311,MATCH($I227,Accounts!$T$12:$T$311,0))="Check inputs","—",INDEX(Accounts!$Q$12:$Q$311,MATCH($I227,Accounts!$T$12:$T$311,0))))</f>
        <v/>
      </c>
      <c r="H227" s="32" t="str">
        <f aca="false">IF($I227="","",IF(INDEX(Accounts!$R$12:$R$311,MATCH($I227,Accounts!$T$12:$T$311,0))="Check inputs","Check inputs: "&amp;INDEX(Accounts!$S$12:$S$311,MATCH($I227,Accounts!$T$12:$T$311,0)),INDEX(Accounts!$R$12:$R$311,MATCH($I227,Accounts!$T$12:$T$311,0))))</f>
        <v/>
      </c>
      <c r="I227" s="33" t="str">
        <f aca="false">IF(219&gt;COUNT(Accounts!$T$12:$T$311),"",SMALL(Accounts!$T$12:$T$311,219))</f>
        <v/>
      </c>
    </row>
    <row r="228" customFormat="false" ht="15" hidden="false" customHeight="false" outlineLevel="0" collapsed="false">
      <c r="A228" s="22" t="str">
        <f aca="false">IF($I228="","",INDEX(Accounts!$A$12:$A$311,MATCH($I228,Accounts!$T$12:$T$311,0))&amp;"")</f>
        <v/>
      </c>
      <c r="B228" s="30" t="str">
        <f aca="false">IF($I228="","",IF(INDEX(Accounts!$R$12:$R$311,MATCH($I228,Accounts!$T$12:$T$311,0))="Check inputs","—",INDEX(Accounts!$B$12:$B$311,MATCH($I228,Accounts!$T$12:$T$311,0))))</f>
        <v/>
      </c>
      <c r="C228" s="30" t="str">
        <f aca="false">IF($I228="","",IF(INDEX(Accounts!$R$12:$R$311,MATCH($I228,Accounts!$T$12:$T$311,0))="Check inputs","—",INDEX(Accounts!$M$12:$M$311,MATCH($I228,Accounts!$T$12:$T$311,0))))</f>
        <v/>
      </c>
      <c r="D228" s="30" t="str">
        <f aca="false">IF($I228="","",IF(INDEX(Accounts!$R$12:$R$311,MATCH($I228,Accounts!$T$12:$T$311,0))="Check inputs","—",INDEX(Accounts!$N$12:$N$311,MATCH($I228,Accounts!$T$12:$T$311,0))))</f>
        <v/>
      </c>
      <c r="E228" s="31" t="str">
        <f aca="false">IF($I228="","",IF(INDEX(Accounts!$R$12:$R$311,MATCH($I228,Accounts!$T$12:$T$311,0))="Check inputs","—",INDEX(Accounts!$O$12:$O$311,MATCH($I228,Accounts!$T$12:$T$311,0))))</f>
        <v/>
      </c>
      <c r="F228" s="30" t="str">
        <f aca="false">IF($I228="","",IF(INDEX(Accounts!$R$12:$R$311,MATCH($I228,Accounts!$T$12:$T$311,0))="Check inputs","—",INDEX(Accounts!$P$12:$P$311,MATCH($I228,Accounts!$T$12:$T$311,0))))</f>
        <v/>
      </c>
      <c r="G228" s="30" t="str">
        <f aca="false">IF($I228="","",IF(INDEX(Accounts!$R$12:$R$311,MATCH($I228,Accounts!$T$12:$T$311,0))="Check inputs","—",INDEX(Accounts!$Q$12:$Q$311,MATCH($I228,Accounts!$T$12:$T$311,0))))</f>
        <v/>
      </c>
      <c r="H228" s="32" t="str">
        <f aca="false">IF($I228="","",IF(INDEX(Accounts!$R$12:$R$311,MATCH($I228,Accounts!$T$12:$T$311,0))="Check inputs","Check inputs: "&amp;INDEX(Accounts!$S$12:$S$311,MATCH($I228,Accounts!$T$12:$T$311,0)),INDEX(Accounts!$R$12:$R$311,MATCH($I228,Accounts!$T$12:$T$311,0))))</f>
        <v/>
      </c>
      <c r="I228" s="33" t="str">
        <f aca="false">IF(220&gt;COUNT(Accounts!$T$12:$T$311),"",SMALL(Accounts!$T$12:$T$311,220))</f>
        <v/>
      </c>
    </row>
    <row r="229" customFormat="false" ht="15" hidden="false" customHeight="false" outlineLevel="0" collapsed="false">
      <c r="A229" s="22" t="str">
        <f aca="false">IF($I229="","",INDEX(Accounts!$A$12:$A$311,MATCH($I229,Accounts!$T$12:$T$311,0))&amp;"")</f>
        <v/>
      </c>
      <c r="B229" s="30" t="str">
        <f aca="false">IF($I229="","",IF(INDEX(Accounts!$R$12:$R$311,MATCH($I229,Accounts!$T$12:$T$311,0))="Check inputs","—",INDEX(Accounts!$B$12:$B$311,MATCH($I229,Accounts!$T$12:$T$311,0))))</f>
        <v/>
      </c>
      <c r="C229" s="30" t="str">
        <f aca="false">IF($I229="","",IF(INDEX(Accounts!$R$12:$R$311,MATCH($I229,Accounts!$T$12:$T$311,0))="Check inputs","—",INDEX(Accounts!$M$12:$M$311,MATCH($I229,Accounts!$T$12:$T$311,0))))</f>
        <v/>
      </c>
      <c r="D229" s="30" t="str">
        <f aca="false">IF($I229="","",IF(INDEX(Accounts!$R$12:$R$311,MATCH($I229,Accounts!$T$12:$T$311,0))="Check inputs","—",INDEX(Accounts!$N$12:$N$311,MATCH($I229,Accounts!$T$12:$T$311,0))))</f>
        <v/>
      </c>
      <c r="E229" s="31" t="str">
        <f aca="false">IF($I229="","",IF(INDEX(Accounts!$R$12:$R$311,MATCH($I229,Accounts!$T$12:$T$311,0))="Check inputs","—",INDEX(Accounts!$O$12:$O$311,MATCH($I229,Accounts!$T$12:$T$311,0))))</f>
        <v/>
      </c>
      <c r="F229" s="30" t="str">
        <f aca="false">IF($I229="","",IF(INDEX(Accounts!$R$12:$R$311,MATCH($I229,Accounts!$T$12:$T$311,0))="Check inputs","—",INDEX(Accounts!$P$12:$P$311,MATCH($I229,Accounts!$T$12:$T$311,0))))</f>
        <v/>
      </c>
      <c r="G229" s="30" t="str">
        <f aca="false">IF($I229="","",IF(INDEX(Accounts!$R$12:$R$311,MATCH($I229,Accounts!$T$12:$T$311,0))="Check inputs","—",INDEX(Accounts!$Q$12:$Q$311,MATCH($I229,Accounts!$T$12:$T$311,0))))</f>
        <v/>
      </c>
      <c r="H229" s="32" t="str">
        <f aca="false">IF($I229="","",IF(INDEX(Accounts!$R$12:$R$311,MATCH($I229,Accounts!$T$12:$T$311,0))="Check inputs","Check inputs: "&amp;INDEX(Accounts!$S$12:$S$311,MATCH($I229,Accounts!$T$12:$T$311,0)),INDEX(Accounts!$R$12:$R$311,MATCH($I229,Accounts!$T$12:$T$311,0))))</f>
        <v/>
      </c>
      <c r="I229" s="33" t="str">
        <f aca="false">IF(221&gt;COUNT(Accounts!$T$12:$T$311),"",SMALL(Accounts!$T$12:$T$311,221))</f>
        <v/>
      </c>
    </row>
    <row r="230" customFormat="false" ht="15" hidden="false" customHeight="false" outlineLevel="0" collapsed="false">
      <c r="A230" s="22" t="str">
        <f aca="false">IF($I230="","",INDEX(Accounts!$A$12:$A$311,MATCH($I230,Accounts!$T$12:$T$311,0))&amp;"")</f>
        <v/>
      </c>
      <c r="B230" s="30" t="str">
        <f aca="false">IF($I230="","",IF(INDEX(Accounts!$R$12:$R$311,MATCH($I230,Accounts!$T$12:$T$311,0))="Check inputs","—",INDEX(Accounts!$B$12:$B$311,MATCH($I230,Accounts!$T$12:$T$311,0))))</f>
        <v/>
      </c>
      <c r="C230" s="30" t="str">
        <f aca="false">IF($I230="","",IF(INDEX(Accounts!$R$12:$R$311,MATCH($I230,Accounts!$T$12:$T$311,0))="Check inputs","—",INDEX(Accounts!$M$12:$M$311,MATCH($I230,Accounts!$T$12:$T$311,0))))</f>
        <v/>
      </c>
      <c r="D230" s="30" t="str">
        <f aca="false">IF($I230="","",IF(INDEX(Accounts!$R$12:$R$311,MATCH($I230,Accounts!$T$12:$T$311,0))="Check inputs","—",INDEX(Accounts!$N$12:$N$311,MATCH($I230,Accounts!$T$12:$T$311,0))))</f>
        <v/>
      </c>
      <c r="E230" s="31" t="str">
        <f aca="false">IF($I230="","",IF(INDEX(Accounts!$R$12:$R$311,MATCH($I230,Accounts!$T$12:$T$311,0))="Check inputs","—",INDEX(Accounts!$O$12:$O$311,MATCH($I230,Accounts!$T$12:$T$311,0))))</f>
        <v/>
      </c>
      <c r="F230" s="30" t="str">
        <f aca="false">IF($I230="","",IF(INDEX(Accounts!$R$12:$R$311,MATCH($I230,Accounts!$T$12:$T$311,0))="Check inputs","—",INDEX(Accounts!$P$12:$P$311,MATCH($I230,Accounts!$T$12:$T$311,0))))</f>
        <v/>
      </c>
      <c r="G230" s="30" t="str">
        <f aca="false">IF($I230="","",IF(INDEX(Accounts!$R$12:$R$311,MATCH($I230,Accounts!$T$12:$T$311,0))="Check inputs","—",INDEX(Accounts!$Q$12:$Q$311,MATCH($I230,Accounts!$T$12:$T$311,0))))</f>
        <v/>
      </c>
      <c r="H230" s="32" t="str">
        <f aca="false">IF($I230="","",IF(INDEX(Accounts!$R$12:$R$311,MATCH($I230,Accounts!$T$12:$T$311,0))="Check inputs","Check inputs: "&amp;INDEX(Accounts!$S$12:$S$311,MATCH($I230,Accounts!$T$12:$T$311,0)),INDEX(Accounts!$R$12:$R$311,MATCH($I230,Accounts!$T$12:$T$311,0))))</f>
        <v/>
      </c>
      <c r="I230" s="33" t="str">
        <f aca="false">IF(222&gt;COUNT(Accounts!$T$12:$T$311),"",SMALL(Accounts!$T$12:$T$311,222))</f>
        <v/>
      </c>
    </row>
    <row r="231" customFormat="false" ht="15" hidden="false" customHeight="false" outlineLevel="0" collapsed="false">
      <c r="A231" s="22" t="str">
        <f aca="false">IF($I231="","",INDEX(Accounts!$A$12:$A$311,MATCH($I231,Accounts!$T$12:$T$311,0))&amp;"")</f>
        <v/>
      </c>
      <c r="B231" s="30" t="str">
        <f aca="false">IF($I231="","",IF(INDEX(Accounts!$R$12:$R$311,MATCH($I231,Accounts!$T$12:$T$311,0))="Check inputs","—",INDEX(Accounts!$B$12:$B$311,MATCH($I231,Accounts!$T$12:$T$311,0))))</f>
        <v/>
      </c>
      <c r="C231" s="30" t="str">
        <f aca="false">IF($I231="","",IF(INDEX(Accounts!$R$12:$R$311,MATCH($I231,Accounts!$T$12:$T$311,0))="Check inputs","—",INDEX(Accounts!$M$12:$M$311,MATCH($I231,Accounts!$T$12:$T$311,0))))</f>
        <v/>
      </c>
      <c r="D231" s="30" t="str">
        <f aca="false">IF($I231="","",IF(INDEX(Accounts!$R$12:$R$311,MATCH($I231,Accounts!$T$12:$T$311,0))="Check inputs","—",INDEX(Accounts!$N$12:$N$311,MATCH($I231,Accounts!$T$12:$T$311,0))))</f>
        <v/>
      </c>
      <c r="E231" s="31" t="str">
        <f aca="false">IF($I231="","",IF(INDEX(Accounts!$R$12:$R$311,MATCH($I231,Accounts!$T$12:$T$311,0))="Check inputs","—",INDEX(Accounts!$O$12:$O$311,MATCH($I231,Accounts!$T$12:$T$311,0))))</f>
        <v/>
      </c>
      <c r="F231" s="30" t="str">
        <f aca="false">IF($I231="","",IF(INDEX(Accounts!$R$12:$R$311,MATCH($I231,Accounts!$T$12:$T$311,0))="Check inputs","—",INDEX(Accounts!$P$12:$P$311,MATCH($I231,Accounts!$T$12:$T$311,0))))</f>
        <v/>
      </c>
      <c r="G231" s="30" t="str">
        <f aca="false">IF($I231="","",IF(INDEX(Accounts!$R$12:$R$311,MATCH($I231,Accounts!$T$12:$T$311,0))="Check inputs","—",INDEX(Accounts!$Q$12:$Q$311,MATCH($I231,Accounts!$T$12:$T$311,0))))</f>
        <v/>
      </c>
      <c r="H231" s="32" t="str">
        <f aca="false">IF($I231="","",IF(INDEX(Accounts!$R$12:$R$311,MATCH($I231,Accounts!$T$12:$T$311,0))="Check inputs","Check inputs: "&amp;INDEX(Accounts!$S$12:$S$311,MATCH($I231,Accounts!$T$12:$T$311,0)),INDEX(Accounts!$R$12:$R$311,MATCH($I231,Accounts!$T$12:$T$311,0))))</f>
        <v/>
      </c>
      <c r="I231" s="33" t="str">
        <f aca="false">IF(223&gt;COUNT(Accounts!$T$12:$T$311),"",SMALL(Accounts!$T$12:$T$311,223))</f>
        <v/>
      </c>
    </row>
    <row r="232" customFormat="false" ht="15" hidden="false" customHeight="false" outlineLevel="0" collapsed="false">
      <c r="A232" s="22" t="str">
        <f aca="false">IF($I232="","",INDEX(Accounts!$A$12:$A$311,MATCH($I232,Accounts!$T$12:$T$311,0))&amp;"")</f>
        <v/>
      </c>
      <c r="B232" s="30" t="str">
        <f aca="false">IF($I232="","",IF(INDEX(Accounts!$R$12:$R$311,MATCH($I232,Accounts!$T$12:$T$311,0))="Check inputs","—",INDEX(Accounts!$B$12:$B$311,MATCH($I232,Accounts!$T$12:$T$311,0))))</f>
        <v/>
      </c>
      <c r="C232" s="30" t="str">
        <f aca="false">IF($I232="","",IF(INDEX(Accounts!$R$12:$R$311,MATCH($I232,Accounts!$T$12:$T$311,0))="Check inputs","—",INDEX(Accounts!$M$12:$M$311,MATCH($I232,Accounts!$T$12:$T$311,0))))</f>
        <v/>
      </c>
      <c r="D232" s="30" t="str">
        <f aca="false">IF($I232="","",IF(INDEX(Accounts!$R$12:$R$311,MATCH($I232,Accounts!$T$12:$T$311,0))="Check inputs","—",INDEX(Accounts!$N$12:$N$311,MATCH($I232,Accounts!$T$12:$T$311,0))))</f>
        <v/>
      </c>
      <c r="E232" s="31" t="str">
        <f aca="false">IF($I232="","",IF(INDEX(Accounts!$R$12:$R$311,MATCH($I232,Accounts!$T$12:$T$311,0))="Check inputs","—",INDEX(Accounts!$O$12:$O$311,MATCH($I232,Accounts!$T$12:$T$311,0))))</f>
        <v/>
      </c>
      <c r="F232" s="30" t="str">
        <f aca="false">IF($I232="","",IF(INDEX(Accounts!$R$12:$R$311,MATCH($I232,Accounts!$T$12:$T$311,0))="Check inputs","—",INDEX(Accounts!$P$12:$P$311,MATCH($I232,Accounts!$T$12:$T$311,0))))</f>
        <v/>
      </c>
      <c r="G232" s="30" t="str">
        <f aca="false">IF($I232="","",IF(INDEX(Accounts!$R$12:$R$311,MATCH($I232,Accounts!$T$12:$T$311,0))="Check inputs","—",INDEX(Accounts!$Q$12:$Q$311,MATCH($I232,Accounts!$T$12:$T$311,0))))</f>
        <v/>
      </c>
      <c r="H232" s="32" t="str">
        <f aca="false">IF($I232="","",IF(INDEX(Accounts!$R$12:$R$311,MATCH($I232,Accounts!$T$12:$T$311,0))="Check inputs","Check inputs: "&amp;INDEX(Accounts!$S$12:$S$311,MATCH($I232,Accounts!$T$12:$T$311,0)),INDEX(Accounts!$R$12:$R$311,MATCH($I232,Accounts!$T$12:$T$311,0))))</f>
        <v/>
      </c>
      <c r="I232" s="33" t="str">
        <f aca="false">IF(224&gt;COUNT(Accounts!$T$12:$T$311),"",SMALL(Accounts!$T$12:$T$311,224))</f>
        <v/>
      </c>
    </row>
    <row r="233" customFormat="false" ht="15" hidden="false" customHeight="false" outlineLevel="0" collapsed="false">
      <c r="A233" s="22" t="str">
        <f aca="false">IF($I233="","",INDEX(Accounts!$A$12:$A$311,MATCH($I233,Accounts!$T$12:$T$311,0))&amp;"")</f>
        <v/>
      </c>
      <c r="B233" s="30" t="str">
        <f aca="false">IF($I233="","",IF(INDEX(Accounts!$R$12:$R$311,MATCH($I233,Accounts!$T$12:$T$311,0))="Check inputs","—",INDEX(Accounts!$B$12:$B$311,MATCH($I233,Accounts!$T$12:$T$311,0))))</f>
        <v/>
      </c>
      <c r="C233" s="30" t="str">
        <f aca="false">IF($I233="","",IF(INDEX(Accounts!$R$12:$R$311,MATCH($I233,Accounts!$T$12:$T$311,0))="Check inputs","—",INDEX(Accounts!$M$12:$M$311,MATCH($I233,Accounts!$T$12:$T$311,0))))</f>
        <v/>
      </c>
      <c r="D233" s="30" t="str">
        <f aca="false">IF($I233="","",IF(INDEX(Accounts!$R$12:$R$311,MATCH($I233,Accounts!$T$12:$T$311,0))="Check inputs","—",INDEX(Accounts!$N$12:$N$311,MATCH($I233,Accounts!$T$12:$T$311,0))))</f>
        <v/>
      </c>
      <c r="E233" s="31" t="str">
        <f aca="false">IF($I233="","",IF(INDEX(Accounts!$R$12:$R$311,MATCH($I233,Accounts!$T$12:$T$311,0))="Check inputs","—",INDEX(Accounts!$O$12:$O$311,MATCH($I233,Accounts!$T$12:$T$311,0))))</f>
        <v/>
      </c>
      <c r="F233" s="30" t="str">
        <f aca="false">IF($I233="","",IF(INDEX(Accounts!$R$12:$R$311,MATCH($I233,Accounts!$T$12:$T$311,0))="Check inputs","—",INDEX(Accounts!$P$12:$P$311,MATCH($I233,Accounts!$T$12:$T$311,0))))</f>
        <v/>
      </c>
      <c r="G233" s="30" t="str">
        <f aca="false">IF($I233="","",IF(INDEX(Accounts!$R$12:$R$311,MATCH($I233,Accounts!$T$12:$T$311,0))="Check inputs","—",INDEX(Accounts!$Q$12:$Q$311,MATCH($I233,Accounts!$T$12:$T$311,0))))</f>
        <v/>
      </c>
      <c r="H233" s="32" t="str">
        <f aca="false">IF($I233="","",IF(INDEX(Accounts!$R$12:$R$311,MATCH($I233,Accounts!$T$12:$T$311,0))="Check inputs","Check inputs: "&amp;INDEX(Accounts!$S$12:$S$311,MATCH($I233,Accounts!$T$12:$T$311,0)),INDEX(Accounts!$R$12:$R$311,MATCH($I233,Accounts!$T$12:$T$311,0))))</f>
        <v/>
      </c>
      <c r="I233" s="33" t="str">
        <f aca="false">IF(225&gt;COUNT(Accounts!$T$12:$T$311),"",SMALL(Accounts!$T$12:$T$311,225))</f>
        <v/>
      </c>
    </row>
    <row r="234" customFormat="false" ht="15" hidden="false" customHeight="false" outlineLevel="0" collapsed="false">
      <c r="A234" s="22" t="str">
        <f aca="false">IF($I234="","",INDEX(Accounts!$A$12:$A$311,MATCH($I234,Accounts!$T$12:$T$311,0))&amp;"")</f>
        <v/>
      </c>
      <c r="B234" s="30" t="str">
        <f aca="false">IF($I234="","",IF(INDEX(Accounts!$R$12:$R$311,MATCH($I234,Accounts!$T$12:$T$311,0))="Check inputs","—",INDEX(Accounts!$B$12:$B$311,MATCH($I234,Accounts!$T$12:$T$311,0))))</f>
        <v/>
      </c>
      <c r="C234" s="30" t="str">
        <f aca="false">IF($I234="","",IF(INDEX(Accounts!$R$12:$R$311,MATCH($I234,Accounts!$T$12:$T$311,0))="Check inputs","—",INDEX(Accounts!$M$12:$M$311,MATCH($I234,Accounts!$T$12:$T$311,0))))</f>
        <v/>
      </c>
      <c r="D234" s="30" t="str">
        <f aca="false">IF($I234="","",IF(INDEX(Accounts!$R$12:$R$311,MATCH($I234,Accounts!$T$12:$T$311,0))="Check inputs","—",INDEX(Accounts!$N$12:$N$311,MATCH($I234,Accounts!$T$12:$T$311,0))))</f>
        <v/>
      </c>
      <c r="E234" s="31" t="str">
        <f aca="false">IF($I234="","",IF(INDEX(Accounts!$R$12:$R$311,MATCH($I234,Accounts!$T$12:$T$311,0))="Check inputs","—",INDEX(Accounts!$O$12:$O$311,MATCH($I234,Accounts!$T$12:$T$311,0))))</f>
        <v/>
      </c>
      <c r="F234" s="30" t="str">
        <f aca="false">IF($I234="","",IF(INDEX(Accounts!$R$12:$R$311,MATCH($I234,Accounts!$T$12:$T$311,0))="Check inputs","—",INDEX(Accounts!$P$12:$P$311,MATCH($I234,Accounts!$T$12:$T$311,0))))</f>
        <v/>
      </c>
      <c r="G234" s="30" t="str">
        <f aca="false">IF($I234="","",IF(INDEX(Accounts!$R$12:$R$311,MATCH($I234,Accounts!$T$12:$T$311,0))="Check inputs","—",INDEX(Accounts!$Q$12:$Q$311,MATCH($I234,Accounts!$T$12:$T$311,0))))</f>
        <v/>
      </c>
      <c r="H234" s="32" t="str">
        <f aca="false">IF($I234="","",IF(INDEX(Accounts!$R$12:$R$311,MATCH($I234,Accounts!$T$12:$T$311,0))="Check inputs","Check inputs: "&amp;INDEX(Accounts!$S$12:$S$311,MATCH($I234,Accounts!$T$12:$T$311,0)),INDEX(Accounts!$R$12:$R$311,MATCH($I234,Accounts!$T$12:$T$311,0))))</f>
        <v/>
      </c>
      <c r="I234" s="33" t="str">
        <f aca="false">IF(226&gt;COUNT(Accounts!$T$12:$T$311),"",SMALL(Accounts!$T$12:$T$311,226))</f>
        <v/>
      </c>
    </row>
    <row r="235" customFormat="false" ht="15" hidden="false" customHeight="false" outlineLevel="0" collapsed="false">
      <c r="A235" s="22" t="str">
        <f aca="false">IF($I235="","",INDEX(Accounts!$A$12:$A$311,MATCH($I235,Accounts!$T$12:$T$311,0))&amp;"")</f>
        <v/>
      </c>
      <c r="B235" s="30" t="str">
        <f aca="false">IF($I235="","",IF(INDEX(Accounts!$R$12:$R$311,MATCH($I235,Accounts!$T$12:$T$311,0))="Check inputs","—",INDEX(Accounts!$B$12:$B$311,MATCH($I235,Accounts!$T$12:$T$311,0))))</f>
        <v/>
      </c>
      <c r="C235" s="30" t="str">
        <f aca="false">IF($I235="","",IF(INDEX(Accounts!$R$12:$R$311,MATCH($I235,Accounts!$T$12:$T$311,0))="Check inputs","—",INDEX(Accounts!$M$12:$M$311,MATCH($I235,Accounts!$T$12:$T$311,0))))</f>
        <v/>
      </c>
      <c r="D235" s="30" t="str">
        <f aca="false">IF($I235="","",IF(INDEX(Accounts!$R$12:$R$311,MATCH($I235,Accounts!$T$12:$T$311,0))="Check inputs","—",INDEX(Accounts!$N$12:$N$311,MATCH($I235,Accounts!$T$12:$T$311,0))))</f>
        <v/>
      </c>
      <c r="E235" s="31" t="str">
        <f aca="false">IF($I235="","",IF(INDEX(Accounts!$R$12:$R$311,MATCH($I235,Accounts!$T$12:$T$311,0))="Check inputs","—",INDEX(Accounts!$O$12:$O$311,MATCH($I235,Accounts!$T$12:$T$311,0))))</f>
        <v/>
      </c>
      <c r="F235" s="30" t="str">
        <f aca="false">IF($I235="","",IF(INDEX(Accounts!$R$12:$R$311,MATCH($I235,Accounts!$T$12:$T$311,0))="Check inputs","—",INDEX(Accounts!$P$12:$P$311,MATCH($I235,Accounts!$T$12:$T$311,0))))</f>
        <v/>
      </c>
      <c r="G235" s="30" t="str">
        <f aca="false">IF($I235="","",IF(INDEX(Accounts!$R$12:$R$311,MATCH($I235,Accounts!$T$12:$T$311,0))="Check inputs","—",INDEX(Accounts!$Q$12:$Q$311,MATCH($I235,Accounts!$T$12:$T$311,0))))</f>
        <v/>
      </c>
      <c r="H235" s="32" t="str">
        <f aca="false">IF($I235="","",IF(INDEX(Accounts!$R$12:$R$311,MATCH($I235,Accounts!$T$12:$T$311,0))="Check inputs","Check inputs: "&amp;INDEX(Accounts!$S$12:$S$311,MATCH($I235,Accounts!$T$12:$T$311,0)),INDEX(Accounts!$R$12:$R$311,MATCH($I235,Accounts!$T$12:$T$311,0))))</f>
        <v/>
      </c>
      <c r="I235" s="33" t="str">
        <f aca="false">IF(227&gt;COUNT(Accounts!$T$12:$T$311),"",SMALL(Accounts!$T$12:$T$311,227))</f>
        <v/>
      </c>
    </row>
    <row r="236" customFormat="false" ht="15" hidden="false" customHeight="false" outlineLevel="0" collapsed="false">
      <c r="A236" s="22" t="str">
        <f aca="false">IF($I236="","",INDEX(Accounts!$A$12:$A$311,MATCH($I236,Accounts!$T$12:$T$311,0))&amp;"")</f>
        <v/>
      </c>
      <c r="B236" s="30" t="str">
        <f aca="false">IF($I236="","",IF(INDEX(Accounts!$R$12:$R$311,MATCH($I236,Accounts!$T$12:$T$311,0))="Check inputs","—",INDEX(Accounts!$B$12:$B$311,MATCH($I236,Accounts!$T$12:$T$311,0))))</f>
        <v/>
      </c>
      <c r="C236" s="30" t="str">
        <f aca="false">IF($I236="","",IF(INDEX(Accounts!$R$12:$R$311,MATCH($I236,Accounts!$T$12:$T$311,0))="Check inputs","—",INDEX(Accounts!$M$12:$M$311,MATCH($I236,Accounts!$T$12:$T$311,0))))</f>
        <v/>
      </c>
      <c r="D236" s="30" t="str">
        <f aca="false">IF($I236="","",IF(INDEX(Accounts!$R$12:$R$311,MATCH($I236,Accounts!$T$12:$T$311,0))="Check inputs","—",INDEX(Accounts!$N$12:$N$311,MATCH($I236,Accounts!$T$12:$T$311,0))))</f>
        <v/>
      </c>
      <c r="E236" s="31" t="str">
        <f aca="false">IF($I236="","",IF(INDEX(Accounts!$R$12:$R$311,MATCH($I236,Accounts!$T$12:$T$311,0))="Check inputs","—",INDEX(Accounts!$O$12:$O$311,MATCH($I236,Accounts!$T$12:$T$311,0))))</f>
        <v/>
      </c>
      <c r="F236" s="30" t="str">
        <f aca="false">IF($I236="","",IF(INDEX(Accounts!$R$12:$R$311,MATCH($I236,Accounts!$T$12:$T$311,0))="Check inputs","—",INDEX(Accounts!$P$12:$P$311,MATCH($I236,Accounts!$T$12:$T$311,0))))</f>
        <v/>
      </c>
      <c r="G236" s="30" t="str">
        <f aca="false">IF($I236="","",IF(INDEX(Accounts!$R$12:$R$311,MATCH($I236,Accounts!$T$12:$T$311,0))="Check inputs","—",INDEX(Accounts!$Q$12:$Q$311,MATCH($I236,Accounts!$T$12:$T$311,0))))</f>
        <v/>
      </c>
      <c r="H236" s="32" t="str">
        <f aca="false">IF($I236="","",IF(INDEX(Accounts!$R$12:$R$311,MATCH($I236,Accounts!$T$12:$T$311,0))="Check inputs","Check inputs: "&amp;INDEX(Accounts!$S$12:$S$311,MATCH($I236,Accounts!$T$12:$T$311,0)),INDEX(Accounts!$R$12:$R$311,MATCH($I236,Accounts!$T$12:$T$311,0))))</f>
        <v/>
      </c>
      <c r="I236" s="33" t="str">
        <f aca="false">IF(228&gt;COUNT(Accounts!$T$12:$T$311),"",SMALL(Accounts!$T$12:$T$311,228))</f>
        <v/>
      </c>
    </row>
    <row r="237" customFormat="false" ht="15" hidden="false" customHeight="false" outlineLevel="0" collapsed="false">
      <c r="A237" s="22" t="str">
        <f aca="false">IF($I237="","",INDEX(Accounts!$A$12:$A$311,MATCH($I237,Accounts!$T$12:$T$311,0))&amp;"")</f>
        <v/>
      </c>
      <c r="B237" s="30" t="str">
        <f aca="false">IF($I237="","",IF(INDEX(Accounts!$R$12:$R$311,MATCH($I237,Accounts!$T$12:$T$311,0))="Check inputs","—",INDEX(Accounts!$B$12:$B$311,MATCH($I237,Accounts!$T$12:$T$311,0))))</f>
        <v/>
      </c>
      <c r="C237" s="30" t="str">
        <f aca="false">IF($I237="","",IF(INDEX(Accounts!$R$12:$R$311,MATCH($I237,Accounts!$T$12:$T$311,0))="Check inputs","—",INDEX(Accounts!$M$12:$M$311,MATCH($I237,Accounts!$T$12:$T$311,0))))</f>
        <v/>
      </c>
      <c r="D237" s="30" t="str">
        <f aca="false">IF($I237="","",IF(INDEX(Accounts!$R$12:$R$311,MATCH($I237,Accounts!$T$12:$T$311,0))="Check inputs","—",INDEX(Accounts!$N$12:$N$311,MATCH($I237,Accounts!$T$12:$T$311,0))))</f>
        <v/>
      </c>
      <c r="E237" s="31" t="str">
        <f aca="false">IF($I237="","",IF(INDEX(Accounts!$R$12:$R$311,MATCH($I237,Accounts!$T$12:$T$311,0))="Check inputs","—",INDEX(Accounts!$O$12:$O$311,MATCH($I237,Accounts!$T$12:$T$311,0))))</f>
        <v/>
      </c>
      <c r="F237" s="30" t="str">
        <f aca="false">IF($I237="","",IF(INDEX(Accounts!$R$12:$R$311,MATCH($I237,Accounts!$T$12:$T$311,0))="Check inputs","—",INDEX(Accounts!$P$12:$P$311,MATCH($I237,Accounts!$T$12:$T$311,0))))</f>
        <v/>
      </c>
      <c r="G237" s="30" t="str">
        <f aca="false">IF($I237="","",IF(INDEX(Accounts!$R$12:$R$311,MATCH($I237,Accounts!$T$12:$T$311,0))="Check inputs","—",INDEX(Accounts!$Q$12:$Q$311,MATCH($I237,Accounts!$T$12:$T$311,0))))</f>
        <v/>
      </c>
      <c r="H237" s="32" t="str">
        <f aca="false">IF($I237="","",IF(INDEX(Accounts!$R$12:$R$311,MATCH($I237,Accounts!$T$12:$T$311,0))="Check inputs","Check inputs: "&amp;INDEX(Accounts!$S$12:$S$311,MATCH($I237,Accounts!$T$12:$T$311,0)),INDEX(Accounts!$R$12:$R$311,MATCH($I237,Accounts!$T$12:$T$311,0))))</f>
        <v/>
      </c>
      <c r="I237" s="33" t="str">
        <f aca="false">IF(229&gt;COUNT(Accounts!$T$12:$T$311),"",SMALL(Accounts!$T$12:$T$311,229))</f>
        <v/>
      </c>
    </row>
    <row r="238" customFormat="false" ht="15" hidden="false" customHeight="false" outlineLevel="0" collapsed="false">
      <c r="A238" s="22" t="str">
        <f aca="false">IF($I238="","",INDEX(Accounts!$A$12:$A$311,MATCH($I238,Accounts!$T$12:$T$311,0))&amp;"")</f>
        <v/>
      </c>
      <c r="B238" s="30" t="str">
        <f aca="false">IF($I238="","",IF(INDEX(Accounts!$R$12:$R$311,MATCH($I238,Accounts!$T$12:$T$311,0))="Check inputs","—",INDEX(Accounts!$B$12:$B$311,MATCH($I238,Accounts!$T$12:$T$311,0))))</f>
        <v/>
      </c>
      <c r="C238" s="30" t="str">
        <f aca="false">IF($I238="","",IF(INDEX(Accounts!$R$12:$R$311,MATCH($I238,Accounts!$T$12:$T$311,0))="Check inputs","—",INDEX(Accounts!$M$12:$M$311,MATCH($I238,Accounts!$T$12:$T$311,0))))</f>
        <v/>
      </c>
      <c r="D238" s="30" t="str">
        <f aca="false">IF($I238="","",IF(INDEX(Accounts!$R$12:$R$311,MATCH($I238,Accounts!$T$12:$T$311,0))="Check inputs","—",INDEX(Accounts!$N$12:$N$311,MATCH($I238,Accounts!$T$12:$T$311,0))))</f>
        <v/>
      </c>
      <c r="E238" s="31" t="str">
        <f aca="false">IF($I238="","",IF(INDEX(Accounts!$R$12:$R$311,MATCH($I238,Accounts!$T$12:$T$311,0))="Check inputs","—",INDEX(Accounts!$O$12:$O$311,MATCH($I238,Accounts!$T$12:$T$311,0))))</f>
        <v/>
      </c>
      <c r="F238" s="30" t="str">
        <f aca="false">IF($I238="","",IF(INDEX(Accounts!$R$12:$R$311,MATCH($I238,Accounts!$T$12:$T$311,0))="Check inputs","—",INDEX(Accounts!$P$12:$P$311,MATCH($I238,Accounts!$T$12:$T$311,0))))</f>
        <v/>
      </c>
      <c r="G238" s="30" t="str">
        <f aca="false">IF($I238="","",IF(INDEX(Accounts!$R$12:$R$311,MATCH($I238,Accounts!$T$12:$T$311,0))="Check inputs","—",INDEX(Accounts!$Q$12:$Q$311,MATCH($I238,Accounts!$T$12:$T$311,0))))</f>
        <v/>
      </c>
      <c r="H238" s="32" t="str">
        <f aca="false">IF($I238="","",IF(INDEX(Accounts!$R$12:$R$311,MATCH($I238,Accounts!$T$12:$T$311,0))="Check inputs","Check inputs: "&amp;INDEX(Accounts!$S$12:$S$311,MATCH($I238,Accounts!$T$12:$T$311,0)),INDEX(Accounts!$R$12:$R$311,MATCH($I238,Accounts!$T$12:$T$311,0))))</f>
        <v/>
      </c>
      <c r="I238" s="33" t="str">
        <f aca="false">IF(230&gt;COUNT(Accounts!$T$12:$T$311),"",SMALL(Accounts!$T$12:$T$311,230))</f>
        <v/>
      </c>
    </row>
    <row r="239" customFormat="false" ht="15" hidden="false" customHeight="false" outlineLevel="0" collapsed="false">
      <c r="A239" s="22" t="str">
        <f aca="false">IF($I239="","",INDEX(Accounts!$A$12:$A$311,MATCH($I239,Accounts!$T$12:$T$311,0))&amp;"")</f>
        <v/>
      </c>
      <c r="B239" s="30" t="str">
        <f aca="false">IF($I239="","",IF(INDEX(Accounts!$R$12:$R$311,MATCH($I239,Accounts!$T$12:$T$311,0))="Check inputs","—",INDEX(Accounts!$B$12:$B$311,MATCH($I239,Accounts!$T$12:$T$311,0))))</f>
        <v/>
      </c>
      <c r="C239" s="30" t="str">
        <f aca="false">IF($I239="","",IF(INDEX(Accounts!$R$12:$R$311,MATCH($I239,Accounts!$T$12:$T$311,0))="Check inputs","—",INDEX(Accounts!$M$12:$M$311,MATCH($I239,Accounts!$T$12:$T$311,0))))</f>
        <v/>
      </c>
      <c r="D239" s="30" t="str">
        <f aca="false">IF($I239="","",IF(INDEX(Accounts!$R$12:$R$311,MATCH($I239,Accounts!$T$12:$T$311,0))="Check inputs","—",INDEX(Accounts!$N$12:$N$311,MATCH($I239,Accounts!$T$12:$T$311,0))))</f>
        <v/>
      </c>
      <c r="E239" s="31" t="str">
        <f aca="false">IF($I239="","",IF(INDEX(Accounts!$R$12:$R$311,MATCH($I239,Accounts!$T$12:$T$311,0))="Check inputs","—",INDEX(Accounts!$O$12:$O$311,MATCH($I239,Accounts!$T$12:$T$311,0))))</f>
        <v/>
      </c>
      <c r="F239" s="30" t="str">
        <f aca="false">IF($I239="","",IF(INDEX(Accounts!$R$12:$R$311,MATCH($I239,Accounts!$T$12:$T$311,0))="Check inputs","—",INDEX(Accounts!$P$12:$P$311,MATCH($I239,Accounts!$T$12:$T$311,0))))</f>
        <v/>
      </c>
      <c r="G239" s="30" t="str">
        <f aca="false">IF($I239="","",IF(INDEX(Accounts!$R$12:$R$311,MATCH($I239,Accounts!$T$12:$T$311,0))="Check inputs","—",INDEX(Accounts!$Q$12:$Q$311,MATCH($I239,Accounts!$T$12:$T$311,0))))</f>
        <v/>
      </c>
      <c r="H239" s="32" t="str">
        <f aca="false">IF($I239="","",IF(INDEX(Accounts!$R$12:$R$311,MATCH($I239,Accounts!$T$12:$T$311,0))="Check inputs","Check inputs: "&amp;INDEX(Accounts!$S$12:$S$311,MATCH($I239,Accounts!$T$12:$T$311,0)),INDEX(Accounts!$R$12:$R$311,MATCH($I239,Accounts!$T$12:$T$311,0))))</f>
        <v/>
      </c>
      <c r="I239" s="33" t="str">
        <f aca="false">IF(231&gt;COUNT(Accounts!$T$12:$T$311),"",SMALL(Accounts!$T$12:$T$311,231))</f>
        <v/>
      </c>
    </row>
    <row r="240" customFormat="false" ht="15" hidden="false" customHeight="false" outlineLevel="0" collapsed="false">
      <c r="A240" s="22" t="str">
        <f aca="false">IF($I240="","",INDEX(Accounts!$A$12:$A$311,MATCH($I240,Accounts!$T$12:$T$311,0))&amp;"")</f>
        <v/>
      </c>
      <c r="B240" s="30" t="str">
        <f aca="false">IF($I240="","",IF(INDEX(Accounts!$R$12:$R$311,MATCH($I240,Accounts!$T$12:$T$311,0))="Check inputs","—",INDEX(Accounts!$B$12:$B$311,MATCH($I240,Accounts!$T$12:$T$311,0))))</f>
        <v/>
      </c>
      <c r="C240" s="30" t="str">
        <f aca="false">IF($I240="","",IF(INDEX(Accounts!$R$12:$R$311,MATCH($I240,Accounts!$T$12:$T$311,0))="Check inputs","—",INDEX(Accounts!$M$12:$M$311,MATCH($I240,Accounts!$T$12:$T$311,0))))</f>
        <v/>
      </c>
      <c r="D240" s="30" t="str">
        <f aca="false">IF($I240="","",IF(INDEX(Accounts!$R$12:$R$311,MATCH($I240,Accounts!$T$12:$T$311,0))="Check inputs","—",INDEX(Accounts!$N$12:$N$311,MATCH($I240,Accounts!$T$12:$T$311,0))))</f>
        <v/>
      </c>
      <c r="E240" s="31" t="str">
        <f aca="false">IF($I240="","",IF(INDEX(Accounts!$R$12:$R$311,MATCH($I240,Accounts!$T$12:$T$311,0))="Check inputs","—",INDEX(Accounts!$O$12:$O$311,MATCH($I240,Accounts!$T$12:$T$311,0))))</f>
        <v/>
      </c>
      <c r="F240" s="30" t="str">
        <f aca="false">IF($I240="","",IF(INDEX(Accounts!$R$12:$R$311,MATCH($I240,Accounts!$T$12:$T$311,0))="Check inputs","—",INDEX(Accounts!$P$12:$P$311,MATCH($I240,Accounts!$T$12:$T$311,0))))</f>
        <v/>
      </c>
      <c r="G240" s="30" t="str">
        <f aca="false">IF($I240="","",IF(INDEX(Accounts!$R$12:$R$311,MATCH($I240,Accounts!$T$12:$T$311,0))="Check inputs","—",INDEX(Accounts!$Q$12:$Q$311,MATCH($I240,Accounts!$T$12:$T$311,0))))</f>
        <v/>
      </c>
      <c r="H240" s="32" t="str">
        <f aca="false">IF($I240="","",IF(INDEX(Accounts!$R$12:$R$311,MATCH($I240,Accounts!$T$12:$T$311,0))="Check inputs","Check inputs: "&amp;INDEX(Accounts!$S$12:$S$311,MATCH($I240,Accounts!$T$12:$T$311,0)),INDEX(Accounts!$R$12:$R$311,MATCH($I240,Accounts!$T$12:$T$311,0))))</f>
        <v/>
      </c>
      <c r="I240" s="33" t="str">
        <f aca="false">IF(232&gt;COUNT(Accounts!$T$12:$T$311),"",SMALL(Accounts!$T$12:$T$311,232))</f>
        <v/>
      </c>
    </row>
    <row r="241" customFormat="false" ht="15" hidden="false" customHeight="false" outlineLevel="0" collapsed="false">
      <c r="A241" s="22" t="str">
        <f aca="false">IF($I241="","",INDEX(Accounts!$A$12:$A$311,MATCH($I241,Accounts!$T$12:$T$311,0))&amp;"")</f>
        <v/>
      </c>
      <c r="B241" s="30" t="str">
        <f aca="false">IF($I241="","",IF(INDEX(Accounts!$R$12:$R$311,MATCH($I241,Accounts!$T$12:$T$311,0))="Check inputs","—",INDEX(Accounts!$B$12:$B$311,MATCH($I241,Accounts!$T$12:$T$311,0))))</f>
        <v/>
      </c>
      <c r="C241" s="30" t="str">
        <f aca="false">IF($I241="","",IF(INDEX(Accounts!$R$12:$R$311,MATCH($I241,Accounts!$T$12:$T$311,0))="Check inputs","—",INDEX(Accounts!$M$12:$M$311,MATCH($I241,Accounts!$T$12:$T$311,0))))</f>
        <v/>
      </c>
      <c r="D241" s="30" t="str">
        <f aca="false">IF($I241="","",IF(INDEX(Accounts!$R$12:$R$311,MATCH($I241,Accounts!$T$12:$T$311,0))="Check inputs","—",INDEX(Accounts!$N$12:$N$311,MATCH($I241,Accounts!$T$12:$T$311,0))))</f>
        <v/>
      </c>
      <c r="E241" s="31" t="str">
        <f aca="false">IF($I241="","",IF(INDEX(Accounts!$R$12:$R$311,MATCH($I241,Accounts!$T$12:$T$311,0))="Check inputs","—",INDEX(Accounts!$O$12:$O$311,MATCH($I241,Accounts!$T$12:$T$311,0))))</f>
        <v/>
      </c>
      <c r="F241" s="30" t="str">
        <f aca="false">IF($I241="","",IF(INDEX(Accounts!$R$12:$R$311,MATCH($I241,Accounts!$T$12:$T$311,0))="Check inputs","—",INDEX(Accounts!$P$12:$P$311,MATCH($I241,Accounts!$T$12:$T$311,0))))</f>
        <v/>
      </c>
      <c r="G241" s="30" t="str">
        <f aca="false">IF($I241="","",IF(INDEX(Accounts!$R$12:$R$311,MATCH($I241,Accounts!$T$12:$T$311,0))="Check inputs","—",INDEX(Accounts!$Q$12:$Q$311,MATCH($I241,Accounts!$T$12:$T$311,0))))</f>
        <v/>
      </c>
      <c r="H241" s="32" t="str">
        <f aca="false">IF($I241="","",IF(INDEX(Accounts!$R$12:$R$311,MATCH($I241,Accounts!$T$12:$T$311,0))="Check inputs","Check inputs: "&amp;INDEX(Accounts!$S$12:$S$311,MATCH($I241,Accounts!$T$12:$T$311,0)),INDEX(Accounts!$R$12:$R$311,MATCH($I241,Accounts!$T$12:$T$311,0))))</f>
        <v/>
      </c>
      <c r="I241" s="33" t="str">
        <f aca="false">IF(233&gt;COUNT(Accounts!$T$12:$T$311),"",SMALL(Accounts!$T$12:$T$311,233))</f>
        <v/>
      </c>
    </row>
    <row r="242" customFormat="false" ht="15" hidden="false" customHeight="false" outlineLevel="0" collapsed="false">
      <c r="A242" s="22" t="str">
        <f aca="false">IF($I242="","",INDEX(Accounts!$A$12:$A$311,MATCH($I242,Accounts!$T$12:$T$311,0))&amp;"")</f>
        <v/>
      </c>
      <c r="B242" s="30" t="str">
        <f aca="false">IF($I242="","",IF(INDEX(Accounts!$R$12:$R$311,MATCH($I242,Accounts!$T$12:$T$311,0))="Check inputs","—",INDEX(Accounts!$B$12:$B$311,MATCH($I242,Accounts!$T$12:$T$311,0))))</f>
        <v/>
      </c>
      <c r="C242" s="30" t="str">
        <f aca="false">IF($I242="","",IF(INDEX(Accounts!$R$12:$R$311,MATCH($I242,Accounts!$T$12:$T$311,0))="Check inputs","—",INDEX(Accounts!$M$12:$M$311,MATCH($I242,Accounts!$T$12:$T$311,0))))</f>
        <v/>
      </c>
      <c r="D242" s="30" t="str">
        <f aca="false">IF($I242="","",IF(INDEX(Accounts!$R$12:$R$311,MATCH($I242,Accounts!$T$12:$T$311,0))="Check inputs","—",INDEX(Accounts!$N$12:$N$311,MATCH($I242,Accounts!$T$12:$T$311,0))))</f>
        <v/>
      </c>
      <c r="E242" s="31" t="str">
        <f aca="false">IF($I242="","",IF(INDEX(Accounts!$R$12:$R$311,MATCH($I242,Accounts!$T$12:$T$311,0))="Check inputs","—",INDEX(Accounts!$O$12:$O$311,MATCH($I242,Accounts!$T$12:$T$311,0))))</f>
        <v/>
      </c>
      <c r="F242" s="30" t="str">
        <f aca="false">IF($I242="","",IF(INDEX(Accounts!$R$12:$R$311,MATCH($I242,Accounts!$T$12:$T$311,0))="Check inputs","—",INDEX(Accounts!$P$12:$P$311,MATCH($I242,Accounts!$T$12:$T$311,0))))</f>
        <v/>
      </c>
      <c r="G242" s="30" t="str">
        <f aca="false">IF($I242="","",IF(INDEX(Accounts!$R$12:$R$311,MATCH($I242,Accounts!$T$12:$T$311,0))="Check inputs","—",INDEX(Accounts!$Q$12:$Q$311,MATCH($I242,Accounts!$T$12:$T$311,0))))</f>
        <v/>
      </c>
      <c r="H242" s="32" t="str">
        <f aca="false">IF($I242="","",IF(INDEX(Accounts!$R$12:$R$311,MATCH($I242,Accounts!$T$12:$T$311,0))="Check inputs","Check inputs: "&amp;INDEX(Accounts!$S$12:$S$311,MATCH($I242,Accounts!$T$12:$T$311,0)),INDEX(Accounts!$R$12:$R$311,MATCH($I242,Accounts!$T$12:$T$311,0))))</f>
        <v/>
      </c>
      <c r="I242" s="33" t="str">
        <f aca="false">IF(234&gt;COUNT(Accounts!$T$12:$T$311),"",SMALL(Accounts!$T$12:$T$311,234))</f>
        <v/>
      </c>
    </row>
    <row r="243" customFormat="false" ht="15" hidden="false" customHeight="false" outlineLevel="0" collapsed="false">
      <c r="A243" s="22" t="str">
        <f aca="false">IF($I243="","",INDEX(Accounts!$A$12:$A$311,MATCH($I243,Accounts!$T$12:$T$311,0))&amp;"")</f>
        <v/>
      </c>
      <c r="B243" s="30" t="str">
        <f aca="false">IF($I243="","",IF(INDEX(Accounts!$R$12:$R$311,MATCH($I243,Accounts!$T$12:$T$311,0))="Check inputs","—",INDEX(Accounts!$B$12:$B$311,MATCH($I243,Accounts!$T$12:$T$311,0))))</f>
        <v/>
      </c>
      <c r="C243" s="30" t="str">
        <f aca="false">IF($I243="","",IF(INDEX(Accounts!$R$12:$R$311,MATCH($I243,Accounts!$T$12:$T$311,0))="Check inputs","—",INDEX(Accounts!$M$12:$M$311,MATCH($I243,Accounts!$T$12:$T$311,0))))</f>
        <v/>
      </c>
      <c r="D243" s="30" t="str">
        <f aca="false">IF($I243="","",IF(INDEX(Accounts!$R$12:$R$311,MATCH($I243,Accounts!$T$12:$T$311,0))="Check inputs","—",INDEX(Accounts!$N$12:$N$311,MATCH($I243,Accounts!$T$12:$T$311,0))))</f>
        <v/>
      </c>
      <c r="E243" s="31" t="str">
        <f aca="false">IF($I243="","",IF(INDEX(Accounts!$R$12:$R$311,MATCH($I243,Accounts!$T$12:$T$311,0))="Check inputs","—",INDEX(Accounts!$O$12:$O$311,MATCH($I243,Accounts!$T$12:$T$311,0))))</f>
        <v/>
      </c>
      <c r="F243" s="30" t="str">
        <f aca="false">IF($I243="","",IF(INDEX(Accounts!$R$12:$R$311,MATCH($I243,Accounts!$T$12:$T$311,0))="Check inputs","—",INDEX(Accounts!$P$12:$P$311,MATCH($I243,Accounts!$T$12:$T$311,0))))</f>
        <v/>
      </c>
      <c r="G243" s="30" t="str">
        <f aca="false">IF($I243="","",IF(INDEX(Accounts!$R$12:$R$311,MATCH($I243,Accounts!$T$12:$T$311,0))="Check inputs","—",INDEX(Accounts!$Q$12:$Q$311,MATCH($I243,Accounts!$T$12:$T$311,0))))</f>
        <v/>
      </c>
      <c r="H243" s="32" t="str">
        <f aca="false">IF($I243="","",IF(INDEX(Accounts!$R$12:$R$311,MATCH($I243,Accounts!$T$12:$T$311,0))="Check inputs","Check inputs: "&amp;INDEX(Accounts!$S$12:$S$311,MATCH($I243,Accounts!$T$12:$T$311,0)),INDEX(Accounts!$R$12:$R$311,MATCH($I243,Accounts!$T$12:$T$311,0))))</f>
        <v/>
      </c>
      <c r="I243" s="33" t="str">
        <f aca="false">IF(235&gt;COUNT(Accounts!$T$12:$T$311),"",SMALL(Accounts!$T$12:$T$311,235))</f>
        <v/>
      </c>
    </row>
    <row r="244" customFormat="false" ht="15" hidden="false" customHeight="false" outlineLevel="0" collapsed="false">
      <c r="A244" s="22" t="str">
        <f aca="false">IF($I244="","",INDEX(Accounts!$A$12:$A$311,MATCH($I244,Accounts!$T$12:$T$311,0))&amp;"")</f>
        <v/>
      </c>
      <c r="B244" s="30" t="str">
        <f aca="false">IF($I244="","",IF(INDEX(Accounts!$R$12:$R$311,MATCH($I244,Accounts!$T$12:$T$311,0))="Check inputs","—",INDEX(Accounts!$B$12:$B$311,MATCH($I244,Accounts!$T$12:$T$311,0))))</f>
        <v/>
      </c>
      <c r="C244" s="30" t="str">
        <f aca="false">IF($I244="","",IF(INDEX(Accounts!$R$12:$R$311,MATCH($I244,Accounts!$T$12:$T$311,0))="Check inputs","—",INDEX(Accounts!$M$12:$M$311,MATCH($I244,Accounts!$T$12:$T$311,0))))</f>
        <v/>
      </c>
      <c r="D244" s="30" t="str">
        <f aca="false">IF($I244="","",IF(INDEX(Accounts!$R$12:$R$311,MATCH($I244,Accounts!$T$12:$T$311,0))="Check inputs","—",INDEX(Accounts!$N$12:$N$311,MATCH($I244,Accounts!$T$12:$T$311,0))))</f>
        <v/>
      </c>
      <c r="E244" s="31" t="str">
        <f aca="false">IF($I244="","",IF(INDEX(Accounts!$R$12:$R$311,MATCH($I244,Accounts!$T$12:$T$311,0))="Check inputs","—",INDEX(Accounts!$O$12:$O$311,MATCH($I244,Accounts!$T$12:$T$311,0))))</f>
        <v/>
      </c>
      <c r="F244" s="30" t="str">
        <f aca="false">IF($I244="","",IF(INDEX(Accounts!$R$12:$R$311,MATCH($I244,Accounts!$T$12:$T$311,0))="Check inputs","—",INDEX(Accounts!$P$12:$P$311,MATCH($I244,Accounts!$T$12:$T$311,0))))</f>
        <v/>
      </c>
      <c r="G244" s="30" t="str">
        <f aca="false">IF($I244="","",IF(INDEX(Accounts!$R$12:$R$311,MATCH($I244,Accounts!$T$12:$T$311,0))="Check inputs","—",INDEX(Accounts!$Q$12:$Q$311,MATCH($I244,Accounts!$T$12:$T$311,0))))</f>
        <v/>
      </c>
      <c r="H244" s="32" t="str">
        <f aca="false">IF($I244="","",IF(INDEX(Accounts!$R$12:$R$311,MATCH($I244,Accounts!$T$12:$T$311,0))="Check inputs","Check inputs: "&amp;INDEX(Accounts!$S$12:$S$311,MATCH($I244,Accounts!$T$12:$T$311,0)),INDEX(Accounts!$R$12:$R$311,MATCH($I244,Accounts!$T$12:$T$311,0))))</f>
        <v/>
      </c>
      <c r="I244" s="33" t="str">
        <f aca="false">IF(236&gt;COUNT(Accounts!$T$12:$T$311),"",SMALL(Accounts!$T$12:$T$311,236))</f>
        <v/>
      </c>
    </row>
    <row r="245" customFormat="false" ht="15" hidden="false" customHeight="false" outlineLevel="0" collapsed="false">
      <c r="A245" s="22" t="str">
        <f aca="false">IF($I245="","",INDEX(Accounts!$A$12:$A$311,MATCH($I245,Accounts!$T$12:$T$311,0))&amp;"")</f>
        <v/>
      </c>
      <c r="B245" s="30" t="str">
        <f aca="false">IF($I245="","",IF(INDEX(Accounts!$R$12:$R$311,MATCH($I245,Accounts!$T$12:$T$311,0))="Check inputs","—",INDEX(Accounts!$B$12:$B$311,MATCH($I245,Accounts!$T$12:$T$311,0))))</f>
        <v/>
      </c>
      <c r="C245" s="30" t="str">
        <f aca="false">IF($I245="","",IF(INDEX(Accounts!$R$12:$R$311,MATCH($I245,Accounts!$T$12:$T$311,0))="Check inputs","—",INDEX(Accounts!$M$12:$M$311,MATCH($I245,Accounts!$T$12:$T$311,0))))</f>
        <v/>
      </c>
      <c r="D245" s="30" t="str">
        <f aca="false">IF($I245="","",IF(INDEX(Accounts!$R$12:$R$311,MATCH($I245,Accounts!$T$12:$T$311,0))="Check inputs","—",INDEX(Accounts!$N$12:$N$311,MATCH($I245,Accounts!$T$12:$T$311,0))))</f>
        <v/>
      </c>
      <c r="E245" s="31" t="str">
        <f aca="false">IF($I245="","",IF(INDEX(Accounts!$R$12:$R$311,MATCH($I245,Accounts!$T$12:$T$311,0))="Check inputs","—",INDEX(Accounts!$O$12:$O$311,MATCH($I245,Accounts!$T$12:$T$311,0))))</f>
        <v/>
      </c>
      <c r="F245" s="30" t="str">
        <f aca="false">IF($I245="","",IF(INDEX(Accounts!$R$12:$R$311,MATCH($I245,Accounts!$T$12:$T$311,0))="Check inputs","—",INDEX(Accounts!$P$12:$P$311,MATCH($I245,Accounts!$T$12:$T$311,0))))</f>
        <v/>
      </c>
      <c r="G245" s="30" t="str">
        <f aca="false">IF($I245="","",IF(INDEX(Accounts!$R$12:$R$311,MATCH($I245,Accounts!$T$12:$T$311,0))="Check inputs","—",INDEX(Accounts!$Q$12:$Q$311,MATCH($I245,Accounts!$T$12:$T$311,0))))</f>
        <v/>
      </c>
      <c r="H245" s="32" t="str">
        <f aca="false">IF($I245="","",IF(INDEX(Accounts!$R$12:$R$311,MATCH($I245,Accounts!$T$12:$T$311,0))="Check inputs","Check inputs: "&amp;INDEX(Accounts!$S$12:$S$311,MATCH($I245,Accounts!$T$12:$T$311,0)),INDEX(Accounts!$R$12:$R$311,MATCH($I245,Accounts!$T$12:$T$311,0))))</f>
        <v/>
      </c>
      <c r="I245" s="33" t="str">
        <f aca="false">IF(237&gt;COUNT(Accounts!$T$12:$T$311),"",SMALL(Accounts!$T$12:$T$311,237))</f>
        <v/>
      </c>
    </row>
    <row r="246" customFormat="false" ht="15" hidden="false" customHeight="false" outlineLevel="0" collapsed="false">
      <c r="A246" s="22" t="str">
        <f aca="false">IF($I246="","",INDEX(Accounts!$A$12:$A$311,MATCH($I246,Accounts!$T$12:$T$311,0))&amp;"")</f>
        <v/>
      </c>
      <c r="B246" s="30" t="str">
        <f aca="false">IF($I246="","",IF(INDEX(Accounts!$R$12:$R$311,MATCH($I246,Accounts!$T$12:$T$311,0))="Check inputs","—",INDEX(Accounts!$B$12:$B$311,MATCH($I246,Accounts!$T$12:$T$311,0))))</f>
        <v/>
      </c>
      <c r="C246" s="30" t="str">
        <f aca="false">IF($I246="","",IF(INDEX(Accounts!$R$12:$R$311,MATCH($I246,Accounts!$T$12:$T$311,0))="Check inputs","—",INDEX(Accounts!$M$12:$M$311,MATCH($I246,Accounts!$T$12:$T$311,0))))</f>
        <v/>
      </c>
      <c r="D246" s="30" t="str">
        <f aca="false">IF($I246="","",IF(INDEX(Accounts!$R$12:$R$311,MATCH($I246,Accounts!$T$12:$T$311,0))="Check inputs","—",INDEX(Accounts!$N$12:$N$311,MATCH($I246,Accounts!$T$12:$T$311,0))))</f>
        <v/>
      </c>
      <c r="E246" s="31" t="str">
        <f aca="false">IF($I246="","",IF(INDEX(Accounts!$R$12:$R$311,MATCH($I246,Accounts!$T$12:$T$311,0))="Check inputs","—",INDEX(Accounts!$O$12:$O$311,MATCH($I246,Accounts!$T$12:$T$311,0))))</f>
        <v/>
      </c>
      <c r="F246" s="30" t="str">
        <f aca="false">IF($I246="","",IF(INDEX(Accounts!$R$12:$R$311,MATCH($I246,Accounts!$T$12:$T$311,0))="Check inputs","—",INDEX(Accounts!$P$12:$P$311,MATCH($I246,Accounts!$T$12:$T$311,0))))</f>
        <v/>
      </c>
      <c r="G246" s="30" t="str">
        <f aca="false">IF($I246="","",IF(INDEX(Accounts!$R$12:$R$311,MATCH($I246,Accounts!$T$12:$T$311,0))="Check inputs","—",INDEX(Accounts!$Q$12:$Q$311,MATCH($I246,Accounts!$T$12:$T$311,0))))</f>
        <v/>
      </c>
      <c r="H246" s="32" t="str">
        <f aca="false">IF($I246="","",IF(INDEX(Accounts!$R$12:$R$311,MATCH($I246,Accounts!$T$12:$T$311,0))="Check inputs","Check inputs: "&amp;INDEX(Accounts!$S$12:$S$311,MATCH($I246,Accounts!$T$12:$T$311,0)),INDEX(Accounts!$R$12:$R$311,MATCH($I246,Accounts!$T$12:$T$311,0))))</f>
        <v/>
      </c>
      <c r="I246" s="33" t="str">
        <f aca="false">IF(238&gt;COUNT(Accounts!$T$12:$T$311),"",SMALL(Accounts!$T$12:$T$311,238))</f>
        <v/>
      </c>
    </row>
    <row r="247" customFormat="false" ht="15" hidden="false" customHeight="false" outlineLevel="0" collapsed="false">
      <c r="A247" s="22" t="str">
        <f aca="false">IF($I247="","",INDEX(Accounts!$A$12:$A$311,MATCH($I247,Accounts!$T$12:$T$311,0))&amp;"")</f>
        <v/>
      </c>
      <c r="B247" s="30" t="str">
        <f aca="false">IF($I247="","",IF(INDEX(Accounts!$R$12:$R$311,MATCH($I247,Accounts!$T$12:$T$311,0))="Check inputs","—",INDEX(Accounts!$B$12:$B$311,MATCH($I247,Accounts!$T$12:$T$311,0))))</f>
        <v/>
      </c>
      <c r="C247" s="30" t="str">
        <f aca="false">IF($I247="","",IF(INDEX(Accounts!$R$12:$R$311,MATCH($I247,Accounts!$T$12:$T$311,0))="Check inputs","—",INDEX(Accounts!$M$12:$M$311,MATCH($I247,Accounts!$T$12:$T$311,0))))</f>
        <v/>
      </c>
      <c r="D247" s="30" t="str">
        <f aca="false">IF($I247="","",IF(INDEX(Accounts!$R$12:$R$311,MATCH($I247,Accounts!$T$12:$T$311,0))="Check inputs","—",INDEX(Accounts!$N$12:$N$311,MATCH($I247,Accounts!$T$12:$T$311,0))))</f>
        <v/>
      </c>
      <c r="E247" s="31" t="str">
        <f aca="false">IF($I247="","",IF(INDEX(Accounts!$R$12:$R$311,MATCH($I247,Accounts!$T$12:$T$311,0))="Check inputs","—",INDEX(Accounts!$O$12:$O$311,MATCH($I247,Accounts!$T$12:$T$311,0))))</f>
        <v/>
      </c>
      <c r="F247" s="30" t="str">
        <f aca="false">IF($I247="","",IF(INDEX(Accounts!$R$12:$R$311,MATCH($I247,Accounts!$T$12:$T$311,0))="Check inputs","—",INDEX(Accounts!$P$12:$P$311,MATCH($I247,Accounts!$T$12:$T$311,0))))</f>
        <v/>
      </c>
      <c r="G247" s="30" t="str">
        <f aca="false">IF($I247="","",IF(INDEX(Accounts!$R$12:$R$311,MATCH($I247,Accounts!$T$12:$T$311,0))="Check inputs","—",INDEX(Accounts!$Q$12:$Q$311,MATCH($I247,Accounts!$T$12:$T$311,0))))</f>
        <v/>
      </c>
      <c r="H247" s="32" t="str">
        <f aca="false">IF($I247="","",IF(INDEX(Accounts!$R$12:$R$311,MATCH($I247,Accounts!$T$12:$T$311,0))="Check inputs","Check inputs: "&amp;INDEX(Accounts!$S$12:$S$311,MATCH($I247,Accounts!$T$12:$T$311,0)),INDEX(Accounts!$R$12:$R$311,MATCH($I247,Accounts!$T$12:$T$311,0))))</f>
        <v/>
      </c>
      <c r="I247" s="33" t="str">
        <f aca="false">IF(239&gt;COUNT(Accounts!$T$12:$T$311),"",SMALL(Accounts!$T$12:$T$311,239))</f>
        <v/>
      </c>
    </row>
    <row r="248" customFormat="false" ht="15" hidden="false" customHeight="false" outlineLevel="0" collapsed="false">
      <c r="A248" s="22" t="str">
        <f aca="false">IF($I248="","",INDEX(Accounts!$A$12:$A$311,MATCH($I248,Accounts!$T$12:$T$311,0))&amp;"")</f>
        <v/>
      </c>
      <c r="B248" s="30" t="str">
        <f aca="false">IF($I248="","",IF(INDEX(Accounts!$R$12:$R$311,MATCH($I248,Accounts!$T$12:$T$311,0))="Check inputs","—",INDEX(Accounts!$B$12:$B$311,MATCH($I248,Accounts!$T$12:$T$311,0))))</f>
        <v/>
      </c>
      <c r="C248" s="30" t="str">
        <f aca="false">IF($I248="","",IF(INDEX(Accounts!$R$12:$R$311,MATCH($I248,Accounts!$T$12:$T$311,0))="Check inputs","—",INDEX(Accounts!$M$12:$M$311,MATCH($I248,Accounts!$T$12:$T$311,0))))</f>
        <v/>
      </c>
      <c r="D248" s="30" t="str">
        <f aca="false">IF($I248="","",IF(INDEX(Accounts!$R$12:$R$311,MATCH($I248,Accounts!$T$12:$T$311,0))="Check inputs","—",INDEX(Accounts!$N$12:$N$311,MATCH($I248,Accounts!$T$12:$T$311,0))))</f>
        <v/>
      </c>
      <c r="E248" s="31" t="str">
        <f aca="false">IF($I248="","",IF(INDEX(Accounts!$R$12:$R$311,MATCH($I248,Accounts!$T$12:$T$311,0))="Check inputs","—",INDEX(Accounts!$O$12:$O$311,MATCH($I248,Accounts!$T$12:$T$311,0))))</f>
        <v/>
      </c>
      <c r="F248" s="30" t="str">
        <f aca="false">IF($I248="","",IF(INDEX(Accounts!$R$12:$R$311,MATCH($I248,Accounts!$T$12:$T$311,0))="Check inputs","—",INDEX(Accounts!$P$12:$P$311,MATCH($I248,Accounts!$T$12:$T$311,0))))</f>
        <v/>
      </c>
      <c r="G248" s="30" t="str">
        <f aca="false">IF($I248="","",IF(INDEX(Accounts!$R$12:$R$311,MATCH($I248,Accounts!$T$12:$T$311,0))="Check inputs","—",INDEX(Accounts!$Q$12:$Q$311,MATCH($I248,Accounts!$T$12:$T$311,0))))</f>
        <v/>
      </c>
      <c r="H248" s="32" t="str">
        <f aca="false">IF($I248="","",IF(INDEX(Accounts!$R$12:$R$311,MATCH($I248,Accounts!$T$12:$T$311,0))="Check inputs","Check inputs: "&amp;INDEX(Accounts!$S$12:$S$311,MATCH($I248,Accounts!$T$12:$T$311,0)),INDEX(Accounts!$R$12:$R$311,MATCH($I248,Accounts!$T$12:$T$311,0))))</f>
        <v/>
      </c>
      <c r="I248" s="33" t="str">
        <f aca="false">IF(240&gt;COUNT(Accounts!$T$12:$T$311),"",SMALL(Accounts!$T$12:$T$311,240))</f>
        <v/>
      </c>
    </row>
    <row r="249" customFormat="false" ht="15" hidden="false" customHeight="false" outlineLevel="0" collapsed="false">
      <c r="A249" s="22" t="str">
        <f aca="false">IF($I249="","",INDEX(Accounts!$A$12:$A$311,MATCH($I249,Accounts!$T$12:$T$311,0))&amp;"")</f>
        <v/>
      </c>
      <c r="B249" s="30" t="str">
        <f aca="false">IF($I249="","",IF(INDEX(Accounts!$R$12:$R$311,MATCH($I249,Accounts!$T$12:$T$311,0))="Check inputs","—",INDEX(Accounts!$B$12:$B$311,MATCH($I249,Accounts!$T$12:$T$311,0))))</f>
        <v/>
      </c>
      <c r="C249" s="30" t="str">
        <f aca="false">IF($I249="","",IF(INDEX(Accounts!$R$12:$R$311,MATCH($I249,Accounts!$T$12:$T$311,0))="Check inputs","—",INDEX(Accounts!$M$12:$M$311,MATCH($I249,Accounts!$T$12:$T$311,0))))</f>
        <v/>
      </c>
      <c r="D249" s="30" t="str">
        <f aca="false">IF($I249="","",IF(INDEX(Accounts!$R$12:$R$311,MATCH($I249,Accounts!$T$12:$T$311,0))="Check inputs","—",INDEX(Accounts!$N$12:$N$311,MATCH($I249,Accounts!$T$12:$T$311,0))))</f>
        <v/>
      </c>
      <c r="E249" s="31" t="str">
        <f aca="false">IF($I249="","",IF(INDEX(Accounts!$R$12:$R$311,MATCH($I249,Accounts!$T$12:$T$311,0))="Check inputs","—",INDEX(Accounts!$O$12:$O$311,MATCH($I249,Accounts!$T$12:$T$311,0))))</f>
        <v/>
      </c>
      <c r="F249" s="30" t="str">
        <f aca="false">IF($I249="","",IF(INDEX(Accounts!$R$12:$R$311,MATCH($I249,Accounts!$T$12:$T$311,0))="Check inputs","—",INDEX(Accounts!$P$12:$P$311,MATCH($I249,Accounts!$T$12:$T$311,0))))</f>
        <v/>
      </c>
      <c r="G249" s="30" t="str">
        <f aca="false">IF($I249="","",IF(INDEX(Accounts!$R$12:$R$311,MATCH($I249,Accounts!$T$12:$T$311,0))="Check inputs","—",INDEX(Accounts!$Q$12:$Q$311,MATCH($I249,Accounts!$T$12:$T$311,0))))</f>
        <v/>
      </c>
      <c r="H249" s="32" t="str">
        <f aca="false">IF($I249="","",IF(INDEX(Accounts!$R$12:$R$311,MATCH($I249,Accounts!$T$12:$T$311,0))="Check inputs","Check inputs: "&amp;INDEX(Accounts!$S$12:$S$311,MATCH($I249,Accounts!$T$12:$T$311,0)),INDEX(Accounts!$R$12:$R$311,MATCH($I249,Accounts!$T$12:$T$311,0))))</f>
        <v/>
      </c>
      <c r="I249" s="33" t="str">
        <f aca="false">IF(241&gt;COUNT(Accounts!$T$12:$T$311),"",SMALL(Accounts!$T$12:$T$311,241))</f>
        <v/>
      </c>
    </row>
    <row r="250" customFormat="false" ht="15" hidden="false" customHeight="false" outlineLevel="0" collapsed="false">
      <c r="A250" s="22" t="str">
        <f aca="false">IF($I250="","",INDEX(Accounts!$A$12:$A$311,MATCH($I250,Accounts!$T$12:$T$311,0))&amp;"")</f>
        <v/>
      </c>
      <c r="B250" s="30" t="str">
        <f aca="false">IF($I250="","",IF(INDEX(Accounts!$R$12:$R$311,MATCH($I250,Accounts!$T$12:$T$311,0))="Check inputs","—",INDEX(Accounts!$B$12:$B$311,MATCH($I250,Accounts!$T$12:$T$311,0))))</f>
        <v/>
      </c>
      <c r="C250" s="30" t="str">
        <f aca="false">IF($I250="","",IF(INDEX(Accounts!$R$12:$R$311,MATCH($I250,Accounts!$T$12:$T$311,0))="Check inputs","—",INDEX(Accounts!$M$12:$M$311,MATCH($I250,Accounts!$T$12:$T$311,0))))</f>
        <v/>
      </c>
      <c r="D250" s="30" t="str">
        <f aca="false">IF($I250="","",IF(INDEX(Accounts!$R$12:$R$311,MATCH($I250,Accounts!$T$12:$T$311,0))="Check inputs","—",INDEX(Accounts!$N$12:$N$311,MATCH($I250,Accounts!$T$12:$T$311,0))))</f>
        <v/>
      </c>
      <c r="E250" s="31" t="str">
        <f aca="false">IF($I250="","",IF(INDEX(Accounts!$R$12:$R$311,MATCH($I250,Accounts!$T$12:$T$311,0))="Check inputs","—",INDEX(Accounts!$O$12:$O$311,MATCH($I250,Accounts!$T$12:$T$311,0))))</f>
        <v/>
      </c>
      <c r="F250" s="30" t="str">
        <f aca="false">IF($I250="","",IF(INDEX(Accounts!$R$12:$R$311,MATCH($I250,Accounts!$T$12:$T$311,0))="Check inputs","—",INDEX(Accounts!$P$12:$P$311,MATCH($I250,Accounts!$T$12:$T$311,0))))</f>
        <v/>
      </c>
      <c r="G250" s="30" t="str">
        <f aca="false">IF($I250="","",IF(INDEX(Accounts!$R$12:$R$311,MATCH($I250,Accounts!$T$12:$T$311,0))="Check inputs","—",INDEX(Accounts!$Q$12:$Q$311,MATCH($I250,Accounts!$T$12:$T$311,0))))</f>
        <v/>
      </c>
      <c r="H250" s="32" t="str">
        <f aca="false">IF($I250="","",IF(INDEX(Accounts!$R$12:$R$311,MATCH($I250,Accounts!$T$12:$T$311,0))="Check inputs","Check inputs: "&amp;INDEX(Accounts!$S$12:$S$311,MATCH($I250,Accounts!$T$12:$T$311,0)),INDEX(Accounts!$R$12:$R$311,MATCH($I250,Accounts!$T$12:$T$311,0))))</f>
        <v/>
      </c>
      <c r="I250" s="33" t="str">
        <f aca="false">IF(242&gt;COUNT(Accounts!$T$12:$T$311),"",SMALL(Accounts!$T$12:$T$311,242))</f>
        <v/>
      </c>
    </row>
    <row r="251" customFormat="false" ht="15" hidden="false" customHeight="false" outlineLevel="0" collapsed="false">
      <c r="A251" s="22" t="str">
        <f aca="false">IF($I251="","",INDEX(Accounts!$A$12:$A$311,MATCH($I251,Accounts!$T$12:$T$311,0))&amp;"")</f>
        <v/>
      </c>
      <c r="B251" s="30" t="str">
        <f aca="false">IF($I251="","",IF(INDEX(Accounts!$R$12:$R$311,MATCH($I251,Accounts!$T$12:$T$311,0))="Check inputs","—",INDEX(Accounts!$B$12:$B$311,MATCH($I251,Accounts!$T$12:$T$311,0))))</f>
        <v/>
      </c>
      <c r="C251" s="30" t="str">
        <f aca="false">IF($I251="","",IF(INDEX(Accounts!$R$12:$R$311,MATCH($I251,Accounts!$T$12:$T$311,0))="Check inputs","—",INDEX(Accounts!$M$12:$M$311,MATCH($I251,Accounts!$T$12:$T$311,0))))</f>
        <v/>
      </c>
      <c r="D251" s="30" t="str">
        <f aca="false">IF($I251="","",IF(INDEX(Accounts!$R$12:$R$311,MATCH($I251,Accounts!$T$12:$T$311,0))="Check inputs","—",INDEX(Accounts!$N$12:$N$311,MATCH($I251,Accounts!$T$12:$T$311,0))))</f>
        <v/>
      </c>
      <c r="E251" s="31" t="str">
        <f aca="false">IF($I251="","",IF(INDEX(Accounts!$R$12:$R$311,MATCH($I251,Accounts!$T$12:$T$311,0))="Check inputs","—",INDEX(Accounts!$O$12:$O$311,MATCH($I251,Accounts!$T$12:$T$311,0))))</f>
        <v/>
      </c>
      <c r="F251" s="30" t="str">
        <f aca="false">IF($I251="","",IF(INDEX(Accounts!$R$12:$R$311,MATCH($I251,Accounts!$T$12:$T$311,0))="Check inputs","—",INDEX(Accounts!$P$12:$P$311,MATCH($I251,Accounts!$T$12:$T$311,0))))</f>
        <v/>
      </c>
      <c r="G251" s="30" t="str">
        <f aca="false">IF($I251="","",IF(INDEX(Accounts!$R$12:$R$311,MATCH($I251,Accounts!$T$12:$T$311,0))="Check inputs","—",INDEX(Accounts!$Q$12:$Q$311,MATCH($I251,Accounts!$T$12:$T$311,0))))</f>
        <v/>
      </c>
      <c r="H251" s="32" t="str">
        <f aca="false">IF($I251="","",IF(INDEX(Accounts!$R$12:$R$311,MATCH($I251,Accounts!$T$12:$T$311,0))="Check inputs","Check inputs: "&amp;INDEX(Accounts!$S$12:$S$311,MATCH($I251,Accounts!$T$12:$T$311,0)),INDEX(Accounts!$R$12:$R$311,MATCH($I251,Accounts!$T$12:$T$311,0))))</f>
        <v/>
      </c>
      <c r="I251" s="33" t="str">
        <f aca="false">IF(243&gt;COUNT(Accounts!$T$12:$T$311),"",SMALL(Accounts!$T$12:$T$311,243))</f>
        <v/>
      </c>
    </row>
    <row r="252" customFormat="false" ht="15" hidden="false" customHeight="false" outlineLevel="0" collapsed="false">
      <c r="A252" s="22" t="str">
        <f aca="false">IF($I252="","",INDEX(Accounts!$A$12:$A$311,MATCH($I252,Accounts!$T$12:$T$311,0))&amp;"")</f>
        <v/>
      </c>
      <c r="B252" s="30" t="str">
        <f aca="false">IF($I252="","",IF(INDEX(Accounts!$R$12:$R$311,MATCH($I252,Accounts!$T$12:$T$311,0))="Check inputs","—",INDEX(Accounts!$B$12:$B$311,MATCH($I252,Accounts!$T$12:$T$311,0))))</f>
        <v/>
      </c>
      <c r="C252" s="30" t="str">
        <f aca="false">IF($I252="","",IF(INDEX(Accounts!$R$12:$R$311,MATCH($I252,Accounts!$T$12:$T$311,0))="Check inputs","—",INDEX(Accounts!$M$12:$M$311,MATCH($I252,Accounts!$T$12:$T$311,0))))</f>
        <v/>
      </c>
      <c r="D252" s="30" t="str">
        <f aca="false">IF($I252="","",IF(INDEX(Accounts!$R$12:$R$311,MATCH($I252,Accounts!$T$12:$T$311,0))="Check inputs","—",INDEX(Accounts!$N$12:$N$311,MATCH($I252,Accounts!$T$12:$T$311,0))))</f>
        <v/>
      </c>
      <c r="E252" s="31" t="str">
        <f aca="false">IF($I252="","",IF(INDEX(Accounts!$R$12:$R$311,MATCH($I252,Accounts!$T$12:$T$311,0))="Check inputs","—",INDEX(Accounts!$O$12:$O$311,MATCH($I252,Accounts!$T$12:$T$311,0))))</f>
        <v/>
      </c>
      <c r="F252" s="30" t="str">
        <f aca="false">IF($I252="","",IF(INDEX(Accounts!$R$12:$R$311,MATCH($I252,Accounts!$T$12:$T$311,0))="Check inputs","—",INDEX(Accounts!$P$12:$P$311,MATCH($I252,Accounts!$T$12:$T$311,0))))</f>
        <v/>
      </c>
      <c r="G252" s="30" t="str">
        <f aca="false">IF($I252="","",IF(INDEX(Accounts!$R$12:$R$311,MATCH($I252,Accounts!$T$12:$T$311,0))="Check inputs","—",INDEX(Accounts!$Q$12:$Q$311,MATCH($I252,Accounts!$T$12:$T$311,0))))</f>
        <v/>
      </c>
      <c r="H252" s="32" t="str">
        <f aca="false">IF($I252="","",IF(INDEX(Accounts!$R$12:$R$311,MATCH($I252,Accounts!$T$12:$T$311,0))="Check inputs","Check inputs: "&amp;INDEX(Accounts!$S$12:$S$311,MATCH($I252,Accounts!$T$12:$T$311,0)),INDEX(Accounts!$R$12:$R$311,MATCH($I252,Accounts!$T$12:$T$311,0))))</f>
        <v/>
      </c>
      <c r="I252" s="33" t="str">
        <f aca="false">IF(244&gt;COUNT(Accounts!$T$12:$T$311),"",SMALL(Accounts!$T$12:$T$311,244))</f>
        <v/>
      </c>
    </row>
    <row r="253" customFormat="false" ht="15" hidden="false" customHeight="false" outlineLevel="0" collapsed="false">
      <c r="A253" s="22" t="str">
        <f aca="false">IF($I253="","",INDEX(Accounts!$A$12:$A$311,MATCH($I253,Accounts!$T$12:$T$311,0))&amp;"")</f>
        <v/>
      </c>
      <c r="B253" s="30" t="str">
        <f aca="false">IF($I253="","",IF(INDEX(Accounts!$R$12:$R$311,MATCH($I253,Accounts!$T$12:$T$311,0))="Check inputs","—",INDEX(Accounts!$B$12:$B$311,MATCH($I253,Accounts!$T$12:$T$311,0))))</f>
        <v/>
      </c>
      <c r="C253" s="30" t="str">
        <f aca="false">IF($I253="","",IF(INDEX(Accounts!$R$12:$R$311,MATCH($I253,Accounts!$T$12:$T$311,0))="Check inputs","—",INDEX(Accounts!$M$12:$M$311,MATCH($I253,Accounts!$T$12:$T$311,0))))</f>
        <v/>
      </c>
      <c r="D253" s="30" t="str">
        <f aca="false">IF($I253="","",IF(INDEX(Accounts!$R$12:$R$311,MATCH($I253,Accounts!$T$12:$T$311,0))="Check inputs","—",INDEX(Accounts!$N$12:$N$311,MATCH($I253,Accounts!$T$12:$T$311,0))))</f>
        <v/>
      </c>
      <c r="E253" s="31" t="str">
        <f aca="false">IF($I253="","",IF(INDEX(Accounts!$R$12:$R$311,MATCH($I253,Accounts!$T$12:$T$311,0))="Check inputs","—",INDEX(Accounts!$O$12:$O$311,MATCH($I253,Accounts!$T$12:$T$311,0))))</f>
        <v/>
      </c>
      <c r="F253" s="30" t="str">
        <f aca="false">IF($I253="","",IF(INDEX(Accounts!$R$12:$R$311,MATCH($I253,Accounts!$T$12:$T$311,0))="Check inputs","—",INDEX(Accounts!$P$12:$P$311,MATCH($I253,Accounts!$T$12:$T$311,0))))</f>
        <v/>
      </c>
      <c r="G253" s="30" t="str">
        <f aca="false">IF($I253="","",IF(INDEX(Accounts!$R$12:$R$311,MATCH($I253,Accounts!$T$12:$T$311,0))="Check inputs","—",INDEX(Accounts!$Q$12:$Q$311,MATCH($I253,Accounts!$T$12:$T$311,0))))</f>
        <v/>
      </c>
      <c r="H253" s="32" t="str">
        <f aca="false">IF($I253="","",IF(INDEX(Accounts!$R$12:$R$311,MATCH($I253,Accounts!$T$12:$T$311,0))="Check inputs","Check inputs: "&amp;INDEX(Accounts!$S$12:$S$311,MATCH($I253,Accounts!$T$12:$T$311,0)),INDEX(Accounts!$R$12:$R$311,MATCH($I253,Accounts!$T$12:$T$311,0))))</f>
        <v/>
      </c>
      <c r="I253" s="33" t="str">
        <f aca="false">IF(245&gt;COUNT(Accounts!$T$12:$T$311),"",SMALL(Accounts!$T$12:$T$311,245))</f>
        <v/>
      </c>
    </row>
    <row r="254" customFormat="false" ht="15" hidden="false" customHeight="false" outlineLevel="0" collapsed="false">
      <c r="A254" s="22" t="str">
        <f aca="false">IF($I254="","",INDEX(Accounts!$A$12:$A$311,MATCH($I254,Accounts!$T$12:$T$311,0))&amp;"")</f>
        <v/>
      </c>
      <c r="B254" s="30" t="str">
        <f aca="false">IF($I254="","",IF(INDEX(Accounts!$R$12:$R$311,MATCH($I254,Accounts!$T$12:$T$311,0))="Check inputs","—",INDEX(Accounts!$B$12:$B$311,MATCH($I254,Accounts!$T$12:$T$311,0))))</f>
        <v/>
      </c>
      <c r="C254" s="30" t="str">
        <f aca="false">IF($I254="","",IF(INDEX(Accounts!$R$12:$R$311,MATCH($I254,Accounts!$T$12:$T$311,0))="Check inputs","—",INDEX(Accounts!$M$12:$M$311,MATCH($I254,Accounts!$T$12:$T$311,0))))</f>
        <v/>
      </c>
      <c r="D254" s="30" t="str">
        <f aca="false">IF($I254="","",IF(INDEX(Accounts!$R$12:$R$311,MATCH($I254,Accounts!$T$12:$T$311,0))="Check inputs","—",INDEX(Accounts!$N$12:$N$311,MATCH($I254,Accounts!$T$12:$T$311,0))))</f>
        <v/>
      </c>
      <c r="E254" s="31" t="str">
        <f aca="false">IF($I254="","",IF(INDEX(Accounts!$R$12:$R$311,MATCH($I254,Accounts!$T$12:$T$311,0))="Check inputs","—",INDEX(Accounts!$O$12:$O$311,MATCH($I254,Accounts!$T$12:$T$311,0))))</f>
        <v/>
      </c>
      <c r="F254" s="30" t="str">
        <f aca="false">IF($I254="","",IF(INDEX(Accounts!$R$12:$R$311,MATCH($I254,Accounts!$T$12:$T$311,0))="Check inputs","—",INDEX(Accounts!$P$12:$P$311,MATCH($I254,Accounts!$T$12:$T$311,0))))</f>
        <v/>
      </c>
      <c r="G254" s="30" t="str">
        <f aca="false">IF($I254="","",IF(INDEX(Accounts!$R$12:$R$311,MATCH($I254,Accounts!$T$12:$T$311,0))="Check inputs","—",INDEX(Accounts!$Q$12:$Q$311,MATCH($I254,Accounts!$T$12:$T$311,0))))</f>
        <v/>
      </c>
      <c r="H254" s="32" t="str">
        <f aca="false">IF($I254="","",IF(INDEX(Accounts!$R$12:$R$311,MATCH($I254,Accounts!$T$12:$T$311,0))="Check inputs","Check inputs: "&amp;INDEX(Accounts!$S$12:$S$311,MATCH($I254,Accounts!$T$12:$T$311,0)),INDEX(Accounts!$R$12:$R$311,MATCH($I254,Accounts!$T$12:$T$311,0))))</f>
        <v/>
      </c>
      <c r="I254" s="33" t="str">
        <f aca="false">IF(246&gt;COUNT(Accounts!$T$12:$T$311),"",SMALL(Accounts!$T$12:$T$311,246))</f>
        <v/>
      </c>
    </row>
    <row r="255" customFormat="false" ht="15" hidden="false" customHeight="false" outlineLevel="0" collapsed="false">
      <c r="A255" s="22" t="str">
        <f aca="false">IF($I255="","",INDEX(Accounts!$A$12:$A$311,MATCH($I255,Accounts!$T$12:$T$311,0))&amp;"")</f>
        <v/>
      </c>
      <c r="B255" s="30" t="str">
        <f aca="false">IF($I255="","",IF(INDEX(Accounts!$R$12:$R$311,MATCH($I255,Accounts!$T$12:$T$311,0))="Check inputs","—",INDEX(Accounts!$B$12:$B$311,MATCH($I255,Accounts!$T$12:$T$311,0))))</f>
        <v/>
      </c>
      <c r="C255" s="30" t="str">
        <f aca="false">IF($I255="","",IF(INDEX(Accounts!$R$12:$R$311,MATCH($I255,Accounts!$T$12:$T$311,0))="Check inputs","—",INDEX(Accounts!$M$12:$M$311,MATCH($I255,Accounts!$T$12:$T$311,0))))</f>
        <v/>
      </c>
      <c r="D255" s="30" t="str">
        <f aca="false">IF($I255="","",IF(INDEX(Accounts!$R$12:$R$311,MATCH($I255,Accounts!$T$12:$T$311,0))="Check inputs","—",INDEX(Accounts!$N$12:$N$311,MATCH($I255,Accounts!$T$12:$T$311,0))))</f>
        <v/>
      </c>
      <c r="E255" s="31" t="str">
        <f aca="false">IF($I255="","",IF(INDEX(Accounts!$R$12:$R$311,MATCH($I255,Accounts!$T$12:$T$311,0))="Check inputs","—",INDEX(Accounts!$O$12:$O$311,MATCH($I255,Accounts!$T$12:$T$311,0))))</f>
        <v/>
      </c>
      <c r="F255" s="30" t="str">
        <f aca="false">IF($I255="","",IF(INDEX(Accounts!$R$12:$R$311,MATCH($I255,Accounts!$T$12:$T$311,0))="Check inputs","—",INDEX(Accounts!$P$12:$P$311,MATCH($I255,Accounts!$T$12:$T$311,0))))</f>
        <v/>
      </c>
      <c r="G255" s="30" t="str">
        <f aca="false">IF($I255="","",IF(INDEX(Accounts!$R$12:$R$311,MATCH($I255,Accounts!$T$12:$T$311,0))="Check inputs","—",INDEX(Accounts!$Q$12:$Q$311,MATCH($I255,Accounts!$T$12:$T$311,0))))</f>
        <v/>
      </c>
      <c r="H255" s="32" t="str">
        <f aca="false">IF($I255="","",IF(INDEX(Accounts!$R$12:$R$311,MATCH($I255,Accounts!$T$12:$T$311,0))="Check inputs","Check inputs: "&amp;INDEX(Accounts!$S$12:$S$311,MATCH($I255,Accounts!$T$12:$T$311,0)),INDEX(Accounts!$R$12:$R$311,MATCH($I255,Accounts!$T$12:$T$311,0))))</f>
        <v/>
      </c>
      <c r="I255" s="33" t="str">
        <f aca="false">IF(247&gt;COUNT(Accounts!$T$12:$T$311),"",SMALL(Accounts!$T$12:$T$311,247))</f>
        <v/>
      </c>
    </row>
    <row r="256" customFormat="false" ht="15" hidden="false" customHeight="false" outlineLevel="0" collapsed="false">
      <c r="A256" s="22" t="str">
        <f aca="false">IF($I256="","",INDEX(Accounts!$A$12:$A$311,MATCH($I256,Accounts!$T$12:$T$311,0))&amp;"")</f>
        <v/>
      </c>
      <c r="B256" s="30" t="str">
        <f aca="false">IF($I256="","",IF(INDEX(Accounts!$R$12:$R$311,MATCH($I256,Accounts!$T$12:$T$311,0))="Check inputs","—",INDEX(Accounts!$B$12:$B$311,MATCH($I256,Accounts!$T$12:$T$311,0))))</f>
        <v/>
      </c>
      <c r="C256" s="30" t="str">
        <f aca="false">IF($I256="","",IF(INDEX(Accounts!$R$12:$R$311,MATCH($I256,Accounts!$T$12:$T$311,0))="Check inputs","—",INDEX(Accounts!$M$12:$M$311,MATCH($I256,Accounts!$T$12:$T$311,0))))</f>
        <v/>
      </c>
      <c r="D256" s="30" t="str">
        <f aca="false">IF($I256="","",IF(INDEX(Accounts!$R$12:$R$311,MATCH($I256,Accounts!$T$12:$T$311,0))="Check inputs","—",INDEX(Accounts!$N$12:$N$311,MATCH($I256,Accounts!$T$12:$T$311,0))))</f>
        <v/>
      </c>
      <c r="E256" s="31" t="str">
        <f aca="false">IF($I256="","",IF(INDEX(Accounts!$R$12:$R$311,MATCH($I256,Accounts!$T$12:$T$311,0))="Check inputs","—",INDEX(Accounts!$O$12:$O$311,MATCH($I256,Accounts!$T$12:$T$311,0))))</f>
        <v/>
      </c>
      <c r="F256" s="30" t="str">
        <f aca="false">IF($I256="","",IF(INDEX(Accounts!$R$12:$R$311,MATCH($I256,Accounts!$T$12:$T$311,0))="Check inputs","—",INDEX(Accounts!$P$12:$P$311,MATCH($I256,Accounts!$T$12:$T$311,0))))</f>
        <v/>
      </c>
      <c r="G256" s="30" t="str">
        <f aca="false">IF($I256="","",IF(INDEX(Accounts!$R$12:$R$311,MATCH($I256,Accounts!$T$12:$T$311,0))="Check inputs","—",INDEX(Accounts!$Q$12:$Q$311,MATCH($I256,Accounts!$T$12:$T$311,0))))</f>
        <v/>
      </c>
      <c r="H256" s="32" t="str">
        <f aca="false">IF($I256="","",IF(INDEX(Accounts!$R$12:$R$311,MATCH($I256,Accounts!$T$12:$T$311,0))="Check inputs","Check inputs: "&amp;INDEX(Accounts!$S$12:$S$311,MATCH($I256,Accounts!$T$12:$T$311,0)),INDEX(Accounts!$R$12:$R$311,MATCH($I256,Accounts!$T$12:$T$311,0))))</f>
        <v/>
      </c>
      <c r="I256" s="33" t="str">
        <f aca="false">IF(248&gt;COUNT(Accounts!$T$12:$T$311),"",SMALL(Accounts!$T$12:$T$311,248))</f>
        <v/>
      </c>
    </row>
    <row r="257" customFormat="false" ht="15" hidden="false" customHeight="false" outlineLevel="0" collapsed="false">
      <c r="A257" s="22" t="str">
        <f aca="false">IF($I257="","",INDEX(Accounts!$A$12:$A$311,MATCH($I257,Accounts!$T$12:$T$311,0))&amp;"")</f>
        <v/>
      </c>
      <c r="B257" s="30" t="str">
        <f aca="false">IF($I257="","",IF(INDEX(Accounts!$R$12:$R$311,MATCH($I257,Accounts!$T$12:$T$311,0))="Check inputs","—",INDEX(Accounts!$B$12:$B$311,MATCH($I257,Accounts!$T$12:$T$311,0))))</f>
        <v/>
      </c>
      <c r="C257" s="30" t="str">
        <f aca="false">IF($I257="","",IF(INDEX(Accounts!$R$12:$R$311,MATCH($I257,Accounts!$T$12:$T$311,0))="Check inputs","—",INDEX(Accounts!$M$12:$M$311,MATCH($I257,Accounts!$T$12:$T$311,0))))</f>
        <v/>
      </c>
      <c r="D257" s="30" t="str">
        <f aca="false">IF($I257="","",IF(INDEX(Accounts!$R$12:$R$311,MATCH($I257,Accounts!$T$12:$T$311,0))="Check inputs","—",INDEX(Accounts!$N$12:$N$311,MATCH($I257,Accounts!$T$12:$T$311,0))))</f>
        <v/>
      </c>
      <c r="E257" s="31" t="str">
        <f aca="false">IF($I257="","",IF(INDEX(Accounts!$R$12:$R$311,MATCH($I257,Accounts!$T$12:$T$311,0))="Check inputs","—",INDEX(Accounts!$O$12:$O$311,MATCH($I257,Accounts!$T$12:$T$311,0))))</f>
        <v/>
      </c>
      <c r="F257" s="30" t="str">
        <f aca="false">IF($I257="","",IF(INDEX(Accounts!$R$12:$R$311,MATCH($I257,Accounts!$T$12:$T$311,0))="Check inputs","—",INDEX(Accounts!$P$12:$P$311,MATCH($I257,Accounts!$T$12:$T$311,0))))</f>
        <v/>
      </c>
      <c r="G257" s="30" t="str">
        <f aca="false">IF($I257="","",IF(INDEX(Accounts!$R$12:$R$311,MATCH($I257,Accounts!$T$12:$T$311,0))="Check inputs","—",INDEX(Accounts!$Q$12:$Q$311,MATCH($I257,Accounts!$T$12:$T$311,0))))</f>
        <v/>
      </c>
      <c r="H257" s="32" t="str">
        <f aca="false">IF($I257="","",IF(INDEX(Accounts!$R$12:$R$311,MATCH($I257,Accounts!$T$12:$T$311,0))="Check inputs","Check inputs: "&amp;INDEX(Accounts!$S$12:$S$311,MATCH($I257,Accounts!$T$12:$T$311,0)),INDEX(Accounts!$R$12:$R$311,MATCH($I257,Accounts!$T$12:$T$311,0))))</f>
        <v/>
      </c>
      <c r="I257" s="33" t="str">
        <f aca="false">IF(249&gt;COUNT(Accounts!$T$12:$T$311),"",SMALL(Accounts!$T$12:$T$311,249))</f>
        <v/>
      </c>
    </row>
    <row r="258" customFormat="false" ht="15" hidden="false" customHeight="false" outlineLevel="0" collapsed="false">
      <c r="A258" s="22" t="str">
        <f aca="false">IF($I258="","",INDEX(Accounts!$A$12:$A$311,MATCH($I258,Accounts!$T$12:$T$311,0))&amp;"")</f>
        <v/>
      </c>
      <c r="B258" s="30" t="str">
        <f aca="false">IF($I258="","",IF(INDEX(Accounts!$R$12:$R$311,MATCH($I258,Accounts!$T$12:$T$311,0))="Check inputs","—",INDEX(Accounts!$B$12:$B$311,MATCH($I258,Accounts!$T$12:$T$311,0))))</f>
        <v/>
      </c>
      <c r="C258" s="30" t="str">
        <f aca="false">IF($I258="","",IF(INDEX(Accounts!$R$12:$R$311,MATCH($I258,Accounts!$T$12:$T$311,0))="Check inputs","—",INDEX(Accounts!$M$12:$M$311,MATCH($I258,Accounts!$T$12:$T$311,0))))</f>
        <v/>
      </c>
      <c r="D258" s="30" t="str">
        <f aca="false">IF($I258="","",IF(INDEX(Accounts!$R$12:$R$311,MATCH($I258,Accounts!$T$12:$T$311,0))="Check inputs","—",INDEX(Accounts!$N$12:$N$311,MATCH($I258,Accounts!$T$12:$T$311,0))))</f>
        <v/>
      </c>
      <c r="E258" s="31" t="str">
        <f aca="false">IF($I258="","",IF(INDEX(Accounts!$R$12:$R$311,MATCH($I258,Accounts!$T$12:$T$311,0))="Check inputs","—",INDEX(Accounts!$O$12:$O$311,MATCH($I258,Accounts!$T$12:$T$311,0))))</f>
        <v/>
      </c>
      <c r="F258" s="30" t="str">
        <f aca="false">IF($I258="","",IF(INDEX(Accounts!$R$12:$R$311,MATCH($I258,Accounts!$T$12:$T$311,0))="Check inputs","—",INDEX(Accounts!$P$12:$P$311,MATCH($I258,Accounts!$T$12:$T$311,0))))</f>
        <v/>
      </c>
      <c r="G258" s="30" t="str">
        <f aca="false">IF($I258="","",IF(INDEX(Accounts!$R$12:$R$311,MATCH($I258,Accounts!$T$12:$T$311,0))="Check inputs","—",INDEX(Accounts!$Q$12:$Q$311,MATCH($I258,Accounts!$T$12:$T$311,0))))</f>
        <v/>
      </c>
      <c r="H258" s="32" t="str">
        <f aca="false">IF($I258="","",IF(INDEX(Accounts!$R$12:$R$311,MATCH($I258,Accounts!$T$12:$T$311,0))="Check inputs","Check inputs: "&amp;INDEX(Accounts!$S$12:$S$311,MATCH($I258,Accounts!$T$12:$T$311,0)),INDEX(Accounts!$R$12:$R$311,MATCH($I258,Accounts!$T$12:$T$311,0))))</f>
        <v/>
      </c>
      <c r="I258" s="33" t="str">
        <f aca="false">IF(250&gt;COUNT(Accounts!$T$12:$T$311),"",SMALL(Accounts!$T$12:$T$311,250))</f>
        <v/>
      </c>
    </row>
    <row r="259" customFormat="false" ht="15" hidden="false" customHeight="false" outlineLevel="0" collapsed="false">
      <c r="A259" s="22" t="str">
        <f aca="false">IF($I259="","",INDEX(Accounts!$A$12:$A$311,MATCH($I259,Accounts!$T$12:$T$311,0))&amp;"")</f>
        <v/>
      </c>
      <c r="B259" s="30" t="str">
        <f aca="false">IF($I259="","",IF(INDEX(Accounts!$R$12:$R$311,MATCH($I259,Accounts!$T$12:$T$311,0))="Check inputs","—",INDEX(Accounts!$B$12:$B$311,MATCH($I259,Accounts!$T$12:$T$311,0))))</f>
        <v/>
      </c>
      <c r="C259" s="30" t="str">
        <f aca="false">IF($I259="","",IF(INDEX(Accounts!$R$12:$R$311,MATCH($I259,Accounts!$T$12:$T$311,0))="Check inputs","—",INDEX(Accounts!$M$12:$M$311,MATCH($I259,Accounts!$T$12:$T$311,0))))</f>
        <v/>
      </c>
      <c r="D259" s="30" t="str">
        <f aca="false">IF($I259="","",IF(INDEX(Accounts!$R$12:$R$311,MATCH($I259,Accounts!$T$12:$T$311,0))="Check inputs","—",INDEX(Accounts!$N$12:$N$311,MATCH($I259,Accounts!$T$12:$T$311,0))))</f>
        <v/>
      </c>
      <c r="E259" s="31" t="str">
        <f aca="false">IF($I259="","",IF(INDEX(Accounts!$R$12:$R$311,MATCH($I259,Accounts!$T$12:$T$311,0))="Check inputs","—",INDEX(Accounts!$O$12:$O$311,MATCH($I259,Accounts!$T$12:$T$311,0))))</f>
        <v/>
      </c>
      <c r="F259" s="30" t="str">
        <f aca="false">IF($I259="","",IF(INDEX(Accounts!$R$12:$R$311,MATCH($I259,Accounts!$T$12:$T$311,0))="Check inputs","—",INDEX(Accounts!$P$12:$P$311,MATCH($I259,Accounts!$T$12:$T$311,0))))</f>
        <v/>
      </c>
      <c r="G259" s="30" t="str">
        <f aca="false">IF($I259="","",IF(INDEX(Accounts!$R$12:$R$311,MATCH($I259,Accounts!$T$12:$T$311,0))="Check inputs","—",INDEX(Accounts!$Q$12:$Q$311,MATCH($I259,Accounts!$T$12:$T$311,0))))</f>
        <v/>
      </c>
      <c r="H259" s="32" t="str">
        <f aca="false">IF($I259="","",IF(INDEX(Accounts!$R$12:$R$311,MATCH($I259,Accounts!$T$12:$T$311,0))="Check inputs","Check inputs: "&amp;INDEX(Accounts!$S$12:$S$311,MATCH($I259,Accounts!$T$12:$T$311,0)),INDEX(Accounts!$R$12:$R$311,MATCH($I259,Accounts!$T$12:$T$311,0))))</f>
        <v/>
      </c>
      <c r="I259" s="33" t="str">
        <f aca="false">IF(251&gt;COUNT(Accounts!$T$12:$T$311),"",SMALL(Accounts!$T$12:$T$311,251))</f>
        <v/>
      </c>
    </row>
    <row r="260" customFormat="false" ht="15" hidden="false" customHeight="false" outlineLevel="0" collapsed="false">
      <c r="A260" s="22" t="str">
        <f aca="false">IF($I260="","",INDEX(Accounts!$A$12:$A$311,MATCH($I260,Accounts!$T$12:$T$311,0))&amp;"")</f>
        <v/>
      </c>
      <c r="B260" s="30" t="str">
        <f aca="false">IF($I260="","",IF(INDEX(Accounts!$R$12:$R$311,MATCH($I260,Accounts!$T$12:$T$311,0))="Check inputs","—",INDEX(Accounts!$B$12:$B$311,MATCH($I260,Accounts!$T$12:$T$311,0))))</f>
        <v/>
      </c>
      <c r="C260" s="30" t="str">
        <f aca="false">IF($I260="","",IF(INDEX(Accounts!$R$12:$R$311,MATCH($I260,Accounts!$T$12:$T$311,0))="Check inputs","—",INDEX(Accounts!$M$12:$M$311,MATCH($I260,Accounts!$T$12:$T$311,0))))</f>
        <v/>
      </c>
      <c r="D260" s="30" t="str">
        <f aca="false">IF($I260="","",IF(INDEX(Accounts!$R$12:$R$311,MATCH($I260,Accounts!$T$12:$T$311,0))="Check inputs","—",INDEX(Accounts!$N$12:$N$311,MATCH($I260,Accounts!$T$12:$T$311,0))))</f>
        <v/>
      </c>
      <c r="E260" s="31" t="str">
        <f aca="false">IF($I260="","",IF(INDEX(Accounts!$R$12:$R$311,MATCH($I260,Accounts!$T$12:$T$311,0))="Check inputs","—",INDEX(Accounts!$O$12:$O$311,MATCH($I260,Accounts!$T$12:$T$311,0))))</f>
        <v/>
      </c>
      <c r="F260" s="30" t="str">
        <f aca="false">IF($I260="","",IF(INDEX(Accounts!$R$12:$R$311,MATCH($I260,Accounts!$T$12:$T$311,0))="Check inputs","—",INDEX(Accounts!$P$12:$P$311,MATCH($I260,Accounts!$T$12:$T$311,0))))</f>
        <v/>
      </c>
      <c r="G260" s="30" t="str">
        <f aca="false">IF($I260="","",IF(INDEX(Accounts!$R$12:$R$311,MATCH($I260,Accounts!$T$12:$T$311,0))="Check inputs","—",INDEX(Accounts!$Q$12:$Q$311,MATCH($I260,Accounts!$T$12:$T$311,0))))</f>
        <v/>
      </c>
      <c r="H260" s="32" t="str">
        <f aca="false">IF($I260="","",IF(INDEX(Accounts!$R$12:$R$311,MATCH($I260,Accounts!$T$12:$T$311,0))="Check inputs","Check inputs: "&amp;INDEX(Accounts!$S$12:$S$311,MATCH($I260,Accounts!$T$12:$T$311,0)),INDEX(Accounts!$R$12:$R$311,MATCH($I260,Accounts!$T$12:$T$311,0))))</f>
        <v/>
      </c>
      <c r="I260" s="33" t="str">
        <f aca="false">IF(252&gt;COUNT(Accounts!$T$12:$T$311),"",SMALL(Accounts!$T$12:$T$311,252))</f>
        <v/>
      </c>
    </row>
    <row r="261" customFormat="false" ht="15" hidden="false" customHeight="false" outlineLevel="0" collapsed="false">
      <c r="A261" s="22" t="str">
        <f aca="false">IF($I261="","",INDEX(Accounts!$A$12:$A$311,MATCH($I261,Accounts!$T$12:$T$311,0))&amp;"")</f>
        <v/>
      </c>
      <c r="B261" s="30" t="str">
        <f aca="false">IF($I261="","",IF(INDEX(Accounts!$R$12:$R$311,MATCH($I261,Accounts!$T$12:$T$311,0))="Check inputs","—",INDEX(Accounts!$B$12:$B$311,MATCH($I261,Accounts!$T$12:$T$311,0))))</f>
        <v/>
      </c>
      <c r="C261" s="30" t="str">
        <f aca="false">IF($I261="","",IF(INDEX(Accounts!$R$12:$R$311,MATCH($I261,Accounts!$T$12:$T$311,0))="Check inputs","—",INDEX(Accounts!$M$12:$M$311,MATCH($I261,Accounts!$T$12:$T$311,0))))</f>
        <v/>
      </c>
      <c r="D261" s="30" t="str">
        <f aca="false">IF($I261="","",IF(INDEX(Accounts!$R$12:$R$311,MATCH($I261,Accounts!$T$12:$T$311,0))="Check inputs","—",INDEX(Accounts!$N$12:$N$311,MATCH($I261,Accounts!$T$12:$T$311,0))))</f>
        <v/>
      </c>
      <c r="E261" s="31" t="str">
        <f aca="false">IF($I261="","",IF(INDEX(Accounts!$R$12:$R$311,MATCH($I261,Accounts!$T$12:$T$311,0))="Check inputs","—",INDEX(Accounts!$O$12:$O$311,MATCH($I261,Accounts!$T$12:$T$311,0))))</f>
        <v/>
      </c>
      <c r="F261" s="30" t="str">
        <f aca="false">IF($I261="","",IF(INDEX(Accounts!$R$12:$R$311,MATCH($I261,Accounts!$T$12:$T$311,0))="Check inputs","—",INDEX(Accounts!$P$12:$P$311,MATCH($I261,Accounts!$T$12:$T$311,0))))</f>
        <v/>
      </c>
      <c r="G261" s="30" t="str">
        <f aca="false">IF($I261="","",IF(INDEX(Accounts!$R$12:$R$311,MATCH($I261,Accounts!$T$12:$T$311,0))="Check inputs","—",INDEX(Accounts!$Q$12:$Q$311,MATCH($I261,Accounts!$T$12:$T$311,0))))</f>
        <v/>
      </c>
      <c r="H261" s="32" t="str">
        <f aca="false">IF($I261="","",IF(INDEX(Accounts!$R$12:$R$311,MATCH($I261,Accounts!$T$12:$T$311,0))="Check inputs","Check inputs: "&amp;INDEX(Accounts!$S$12:$S$311,MATCH($I261,Accounts!$T$12:$T$311,0)),INDEX(Accounts!$R$12:$R$311,MATCH($I261,Accounts!$T$12:$T$311,0))))</f>
        <v/>
      </c>
      <c r="I261" s="33" t="str">
        <f aca="false">IF(253&gt;COUNT(Accounts!$T$12:$T$311),"",SMALL(Accounts!$T$12:$T$311,253))</f>
        <v/>
      </c>
    </row>
    <row r="262" customFormat="false" ht="15" hidden="false" customHeight="false" outlineLevel="0" collapsed="false">
      <c r="A262" s="22" t="str">
        <f aca="false">IF($I262="","",INDEX(Accounts!$A$12:$A$311,MATCH($I262,Accounts!$T$12:$T$311,0))&amp;"")</f>
        <v/>
      </c>
      <c r="B262" s="30" t="str">
        <f aca="false">IF($I262="","",IF(INDEX(Accounts!$R$12:$R$311,MATCH($I262,Accounts!$T$12:$T$311,0))="Check inputs","—",INDEX(Accounts!$B$12:$B$311,MATCH($I262,Accounts!$T$12:$T$311,0))))</f>
        <v/>
      </c>
      <c r="C262" s="30" t="str">
        <f aca="false">IF($I262="","",IF(INDEX(Accounts!$R$12:$R$311,MATCH($I262,Accounts!$T$12:$T$311,0))="Check inputs","—",INDEX(Accounts!$M$12:$M$311,MATCH($I262,Accounts!$T$12:$T$311,0))))</f>
        <v/>
      </c>
      <c r="D262" s="30" t="str">
        <f aca="false">IF($I262="","",IF(INDEX(Accounts!$R$12:$R$311,MATCH($I262,Accounts!$T$12:$T$311,0))="Check inputs","—",INDEX(Accounts!$N$12:$N$311,MATCH($I262,Accounts!$T$12:$T$311,0))))</f>
        <v/>
      </c>
      <c r="E262" s="31" t="str">
        <f aca="false">IF($I262="","",IF(INDEX(Accounts!$R$12:$R$311,MATCH($I262,Accounts!$T$12:$T$311,0))="Check inputs","—",INDEX(Accounts!$O$12:$O$311,MATCH($I262,Accounts!$T$12:$T$311,0))))</f>
        <v/>
      </c>
      <c r="F262" s="30" t="str">
        <f aca="false">IF($I262="","",IF(INDEX(Accounts!$R$12:$R$311,MATCH($I262,Accounts!$T$12:$T$311,0))="Check inputs","—",INDEX(Accounts!$P$12:$P$311,MATCH($I262,Accounts!$T$12:$T$311,0))))</f>
        <v/>
      </c>
      <c r="G262" s="30" t="str">
        <f aca="false">IF($I262="","",IF(INDEX(Accounts!$R$12:$R$311,MATCH($I262,Accounts!$T$12:$T$311,0))="Check inputs","—",INDEX(Accounts!$Q$12:$Q$311,MATCH($I262,Accounts!$T$12:$T$311,0))))</f>
        <v/>
      </c>
      <c r="H262" s="32" t="str">
        <f aca="false">IF($I262="","",IF(INDEX(Accounts!$R$12:$R$311,MATCH($I262,Accounts!$T$12:$T$311,0))="Check inputs","Check inputs: "&amp;INDEX(Accounts!$S$12:$S$311,MATCH($I262,Accounts!$T$12:$T$311,0)),INDEX(Accounts!$R$12:$R$311,MATCH($I262,Accounts!$T$12:$T$311,0))))</f>
        <v/>
      </c>
      <c r="I262" s="33" t="str">
        <f aca="false">IF(254&gt;COUNT(Accounts!$T$12:$T$311),"",SMALL(Accounts!$T$12:$T$311,254))</f>
        <v/>
      </c>
    </row>
    <row r="263" customFormat="false" ht="15" hidden="false" customHeight="false" outlineLevel="0" collapsed="false">
      <c r="A263" s="22" t="str">
        <f aca="false">IF($I263="","",INDEX(Accounts!$A$12:$A$311,MATCH($I263,Accounts!$T$12:$T$311,0))&amp;"")</f>
        <v/>
      </c>
      <c r="B263" s="30" t="str">
        <f aca="false">IF($I263="","",IF(INDEX(Accounts!$R$12:$R$311,MATCH($I263,Accounts!$T$12:$T$311,0))="Check inputs","—",INDEX(Accounts!$B$12:$B$311,MATCH($I263,Accounts!$T$12:$T$311,0))))</f>
        <v/>
      </c>
      <c r="C263" s="30" t="str">
        <f aca="false">IF($I263="","",IF(INDEX(Accounts!$R$12:$R$311,MATCH($I263,Accounts!$T$12:$T$311,0))="Check inputs","—",INDEX(Accounts!$M$12:$M$311,MATCH($I263,Accounts!$T$12:$T$311,0))))</f>
        <v/>
      </c>
      <c r="D263" s="30" t="str">
        <f aca="false">IF($I263="","",IF(INDEX(Accounts!$R$12:$R$311,MATCH($I263,Accounts!$T$12:$T$311,0))="Check inputs","—",INDEX(Accounts!$N$12:$N$311,MATCH($I263,Accounts!$T$12:$T$311,0))))</f>
        <v/>
      </c>
      <c r="E263" s="31" t="str">
        <f aca="false">IF($I263="","",IF(INDEX(Accounts!$R$12:$R$311,MATCH($I263,Accounts!$T$12:$T$311,0))="Check inputs","—",INDEX(Accounts!$O$12:$O$311,MATCH($I263,Accounts!$T$12:$T$311,0))))</f>
        <v/>
      </c>
      <c r="F263" s="30" t="str">
        <f aca="false">IF($I263="","",IF(INDEX(Accounts!$R$12:$R$311,MATCH($I263,Accounts!$T$12:$T$311,0))="Check inputs","—",INDEX(Accounts!$P$12:$P$311,MATCH($I263,Accounts!$T$12:$T$311,0))))</f>
        <v/>
      </c>
      <c r="G263" s="30" t="str">
        <f aca="false">IF($I263="","",IF(INDEX(Accounts!$R$12:$R$311,MATCH($I263,Accounts!$T$12:$T$311,0))="Check inputs","—",INDEX(Accounts!$Q$12:$Q$311,MATCH($I263,Accounts!$T$12:$T$311,0))))</f>
        <v/>
      </c>
      <c r="H263" s="32" t="str">
        <f aca="false">IF($I263="","",IF(INDEX(Accounts!$R$12:$R$311,MATCH($I263,Accounts!$T$12:$T$311,0))="Check inputs","Check inputs: "&amp;INDEX(Accounts!$S$12:$S$311,MATCH($I263,Accounts!$T$12:$T$311,0)),INDEX(Accounts!$R$12:$R$311,MATCH($I263,Accounts!$T$12:$T$311,0))))</f>
        <v/>
      </c>
      <c r="I263" s="33" t="str">
        <f aca="false">IF(255&gt;COUNT(Accounts!$T$12:$T$311),"",SMALL(Accounts!$T$12:$T$311,255))</f>
        <v/>
      </c>
    </row>
    <row r="264" customFormat="false" ht="15" hidden="false" customHeight="false" outlineLevel="0" collapsed="false">
      <c r="A264" s="22" t="str">
        <f aca="false">IF($I264="","",INDEX(Accounts!$A$12:$A$311,MATCH($I264,Accounts!$T$12:$T$311,0))&amp;"")</f>
        <v/>
      </c>
      <c r="B264" s="30" t="str">
        <f aca="false">IF($I264="","",IF(INDEX(Accounts!$R$12:$R$311,MATCH($I264,Accounts!$T$12:$T$311,0))="Check inputs","—",INDEX(Accounts!$B$12:$B$311,MATCH($I264,Accounts!$T$12:$T$311,0))))</f>
        <v/>
      </c>
      <c r="C264" s="30" t="str">
        <f aca="false">IF($I264="","",IF(INDEX(Accounts!$R$12:$R$311,MATCH($I264,Accounts!$T$12:$T$311,0))="Check inputs","—",INDEX(Accounts!$M$12:$M$311,MATCH($I264,Accounts!$T$12:$T$311,0))))</f>
        <v/>
      </c>
      <c r="D264" s="30" t="str">
        <f aca="false">IF($I264="","",IF(INDEX(Accounts!$R$12:$R$311,MATCH($I264,Accounts!$T$12:$T$311,0))="Check inputs","—",INDEX(Accounts!$N$12:$N$311,MATCH($I264,Accounts!$T$12:$T$311,0))))</f>
        <v/>
      </c>
      <c r="E264" s="31" t="str">
        <f aca="false">IF($I264="","",IF(INDEX(Accounts!$R$12:$R$311,MATCH($I264,Accounts!$T$12:$T$311,0))="Check inputs","—",INDEX(Accounts!$O$12:$O$311,MATCH($I264,Accounts!$T$12:$T$311,0))))</f>
        <v/>
      </c>
      <c r="F264" s="30" t="str">
        <f aca="false">IF($I264="","",IF(INDEX(Accounts!$R$12:$R$311,MATCH($I264,Accounts!$T$12:$T$311,0))="Check inputs","—",INDEX(Accounts!$P$12:$P$311,MATCH($I264,Accounts!$T$12:$T$311,0))))</f>
        <v/>
      </c>
      <c r="G264" s="30" t="str">
        <f aca="false">IF($I264="","",IF(INDEX(Accounts!$R$12:$R$311,MATCH($I264,Accounts!$T$12:$T$311,0))="Check inputs","—",INDEX(Accounts!$Q$12:$Q$311,MATCH($I264,Accounts!$T$12:$T$311,0))))</f>
        <v/>
      </c>
      <c r="H264" s="32" t="str">
        <f aca="false">IF($I264="","",IF(INDEX(Accounts!$R$12:$R$311,MATCH($I264,Accounts!$T$12:$T$311,0))="Check inputs","Check inputs: "&amp;INDEX(Accounts!$S$12:$S$311,MATCH($I264,Accounts!$T$12:$T$311,0)),INDEX(Accounts!$R$12:$R$311,MATCH($I264,Accounts!$T$12:$T$311,0))))</f>
        <v/>
      </c>
      <c r="I264" s="33" t="str">
        <f aca="false">IF(256&gt;COUNT(Accounts!$T$12:$T$311),"",SMALL(Accounts!$T$12:$T$311,256))</f>
        <v/>
      </c>
    </row>
    <row r="265" customFormat="false" ht="15" hidden="false" customHeight="false" outlineLevel="0" collapsed="false">
      <c r="A265" s="22" t="str">
        <f aca="false">IF($I265="","",INDEX(Accounts!$A$12:$A$311,MATCH($I265,Accounts!$T$12:$T$311,0))&amp;"")</f>
        <v/>
      </c>
      <c r="B265" s="30" t="str">
        <f aca="false">IF($I265="","",IF(INDEX(Accounts!$R$12:$R$311,MATCH($I265,Accounts!$T$12:$T$311,0))="Check inputs","—",INDEX(Accounts!$B$12:$B$311,MATCH($I265,Accounts!$T$12:$T$311,0))))</f>
        <v/>
      </c>
      <c r="C265" s="30" t="str">
        <f aca="false">IF($I265="","",IF(INDEX(Accounts!$R$12:$R$311,MATCH($I265,Accounts!$T$12:$T$311,0))="Check inputs","—",INDEX(Accounts!$M$12:$M$311,MATCH($I265,Accounts!$T$12:$T$311,0))))</f>
        <v/>
      </c>
      <c r="D265" s="30" t="str">
        <f aca="false">IF($I265="","",IF(INDEX(Accounts!$R$12:$R$311,MATCH($I265,Accounts!$T$12:$T$311,0))="Check inputs","—",INDEX(Accounts!$N$12:$N$311,MATCH($I265,Accounts!$T$12:$T$311,0))))</f>
        <v/>
      </c>
      <c r="E265" s="31" t="str">
        <f aca="false">IF($I265="","",IF(INDEX(Accounts!$R$12:$R$311,MATCH($I265,Accounts!$T$12:$T$311,0))="Check inputs","—",INDEX(Accounts!$O$12:$O$311,MATCH($I265,Accounts!$T$12:$T$311,0))))</f>
        <v/>
      </c>
      <c r="F265" s="30" t="str">
        <f aca="false">IF($I265="","",IF(INDEX(Accounts!$R$12:$R$311,MATCH($I265,Accounts!$T$12:$T$311,0))="Check inputs","—",INDEX(Accounts!$P$12:$P$311,MATCH($I265,Accounts!$T$12:$T$311,0))))</f>
        <v/>
      </c>
      <c r="G265" s="30" t="str">
        <f aca="false">IF($I265="","",IF(INDEX(Accounts!$R$12:$R$311,MATCH($I265,Accounts!$T$12:$T$311,0))="Check inputs","—",INDEX(Accounts!$Q$12:$Q$311,MATCH($I265,Accounts!$T$12:$T$311,0))))</f>
        <v/>
      </c>
      <c r="H265" s="32" t="str">
        <f aca="false">IF($I265="","",IF(INDEX(Accounts!$R$12:$R$311,MATCH($I265,Accounts!$T$12:$T$311,0))="Check inputs","Check inputs: "&amp;INDEX(Accounts!$S$12:$S$311,MATCH($I265,Accounts!$T$12:$T$311,0)),INDEX(Accounts!$R$12:$R$311,MATCH($I265,Accounts!$T$12:$T$311,0))))</f>
        <v/>
      </c>
      <c r="I265" s="33" t="str">
        <f aca="false">IF(257&gt;COUNT(Accounts!$T$12:$T$311),"",SMALL(Accounts!$T$12:$T$311,257))</f>
        <v/>
      </c>
    </row>
    <row r="266" customFormat="false" ht="15" hidden="false" customHeight="false" outlineLevel="0" collapsed="false">
      <c r="A266" s="22" t="str">
        <f aca="false">IF($I266="","",INDEX(Accounts!$A$12:$A$311,MATCH($I266,Accounts!$T$12:$T$311,0))&amp;"")</f>
        <v/>
      </c>
      <c r="B266" s="30" t="str">
        <f aca="false">IF($I266="","",IF(INDEX(Accounts!$R$12:$R$311,MATCH($I266,Accounts!$T$12:$T$311,0))="Check inputs","—",INDEX(Accounts!$B$12:$B$311,MATCH($I266,Accounts!$T$12:$T$311,0))))</f>
        <v/>
      </c>
      <c r="C266" s="30" t="str">
        <f aca="false">IF($I266="","",IF(INDEX(Accounts!$R$12:$R$311,MATCH($I266,Accounts!$T$12:$T$311,0))="Check inputs","—",INDEX(Accounts!$M$12:$M$311,MATCH($I266,Accounts!$T$12:$T$311,0))))</f>
        <v/>
      </c>
      <c r="D266" s="30" t="str">
        <f aca="false">IF($I266="","",IF(INDEX(Accounts!$R$12:$R$311,MATCH($I266,Accounts!$T$12:$T$311,0))="Check inputs","—",INDEX(Accounts!$N$12:$N$311,MATCH($I266,Accounts!$T$12:$T$311,0))))</f>
        <v/>
      </c>
      <c r="E266" s="31" t="str">
        <f aca="false">IF($I266="","",IF(INDEX(Accounts!$R$12:$R$311,MATCH($I266,Accounts!$T$12:$T$311,0))="Check inputs","—",INDEX(Accounts!$O$12:$O$311,MATCH($I266,Accounts!$T$12:$T$311,0))))</f>
        <v/>
      </c>
      <c r="F266" s="30" t="str">
        <f aca="false">IF($I266="","",IF(INDEX(Accounts!$R$12:$R$311,MATCH($I266,Accounts!$T$12:$T$311,0))="Check inputs","—",INDEX(Accounts!$P$12:$P$311,MATCH($I266,Accounts!$T$12:$T$311,0))))</f>
        <v/>
      </c>
      <c r="G266" s="30" t="str">
        <f aca="false">IF($I266="","",IF(INDEX(Accounts!$R$12:$R$311,MATCH($I266,Accounts!$T$12:$T$311,0))="Check inputs","—",INDEX(Accounts!$Q$12:$Q$311,MATCH($I266,Accounts!$T$12:$T$311,0))))</f>
        <v/>
      </c>
      <c r="H266" s="32" t="str">
        <f aca="false">IF($I266="","",IF(INDEX(Accounts!$R$12:$R$311,MATCH($I266,Accounts!$T$12:$T$311,0))="Check inputs","Check inputs: "&amp;INDEX(Accounts!$S$12:$S$311,MATCH($I266,Accounts!$T$12:$T$311,0)),INDEX(Accounts!$R$12:$R$311,MATCH($I266,Accounts!$T$12:$T$311,0))))</f>
        <v/>
      </c>
      <c r="I266" s="33" t="str">
        <f aca="false">IF(258&gt;COUNT(Accounts!$T$12:$T$311),"",SMALL(Accounts!$T$12:$T$311,258))</f>
        <v/>
      </c>
    </row>
    <row r="267" customFormat="false" ht="15" hidden="false" customHeight="false" outlineLevel="0" collapsed="false">
      <c r="A267" s="22" t="str">
        <f aca="false">IF($I267="","",INDEX(Accounts!$A$12:$A$311,MATCH($I267,Accounts!$T$12:$T$311,0))&amp;"")</f>
        <v/>
      </c>
      <c r="B267" s="30" t="str">
        <f aca="false">IF($I267="","",IF(INDEX(Accounts!$R$12:$R$311,MATCH($I267,Accounts!$T$12:$T$311,0))="Check inputs","—",INDEX(Accounts!$B$12:$B$311,MATCH($I267,Accounts!$T$12:$T$311,0))))</f>
        <v/>
      </c>
      <c r="C267" s="30" t="str">
        <f aca="false">IF($I267="","",IF(INDEX(Accounts!$R$12:$R$311,MATCH($I267,Accounts!$T$12:$T$311,0))="Check inputs","—",INDEX(Accounts!$M$12:$M$311,MATCH($I267,Accounts!$T$12:$T$311,0))))</f>
        <v/>
      </c>
      <c r="D267" s="30" t="str">
        <f aca="false">IF($I267="","",IF(INDEX(Accounts!$R$12:$R$311,MATCH($I267,Accounts!$T$12:$T$311,0))="Check inputs","—",INDEX(Accounts!$N$12:$N$311,MATCH($I267,Accounts!$T$12:$T$311,0))))</f>
        <v/>
      </c>
      <c r="E267" s="31" t="str">
        <f aca="false">IF($I267="","",IF(INDEX(Accounts!$R$12:$R$311,MATCH($I267,Accounts!$T$12:$T$311,0))="Check inputs","—",INDEX(Accounts!$O$12:$O$311,MATCH($I267,Accounts!$T$12:$T$311,0))))</f>
        <v/>
      </c>
      <c r="F267" s="30" t="str">
        <f aca="false">IF($I267="","",IF(INDEX(Accounts!$R$12:$R$311,MATCH($I267,Accounts!$T$12:$T$311,0))="Check inputs","—",INDEX(Accounts!$P$12:$P$311,MATCH($I267,Accounts!$T$12:$T$311,0))))</f>
        <v/>
      </c>
      <c r="G267" s="30" t="str">
        <f aca="false">IF($I267="","",IF(INDEX(Accounts!$R$12:$R$311,MATCH($I267,Accounts!$T$12:$T$311,0))="Check inputs","—",INDEX(Accounts!$Q$12:$Q$311,MATCH($I267,Accounts!$T$12:$T$311,0))))</f>
        <v/>
      </c>
      <c r="H267" s="32" t="str">
        <f aca="false">IF($I267="","",IF(INDEX(Accounts!$R$12:$R$311,MATCH($I267,Accounts!$T$12:$T$311,0))="Check inputs","Check inputs: "&amp;INDEX(Accounts!$S$12:$S$311,MATCH($I267,Accounts!$T$12:$T$311,0)),INDEX(Accounts!$R$12:$R$311,MATCH($I267,Accounts!$T$12:$T$311,0))))</f>
        <v/>
      </c>
      <c r="I267" s="33" t="str">
        <f aca="false">IF(259&gt;COUNT(Accounts!$T$12:$T$311),"",SMALL(Accounts!$T$12:$T$311,259))</f>
        <v/>
      </c>
    </row>
    <row r="268" customFormat="false" ht="15" hidden="false" customHeight="false" outlineLevel="0" collapsed="false">
      <c r="A268" s="22" t="str">
        <f aca="false">IF($I268="","",INDEX(Accounts!$A$12:$A$311,MATCH($I268,Accounts!$T$12:$T$311,0))&amp;"")</f>
        <v/>
      </c>
      <c r="B268" s="30" t="str">
        <f aca="false">IF($I268="","",IF(INDEX(Accounts!$R$12:$R$311,MATCH($I268,Accounts!$T$12:$T$311,0))="Check inputs","—",INDEX(Accounts!$B$12:$B$311,MATCH($I268,Accounts!$T$12:$T$311,0))))</f>
        <v/>
      </c>
      <c r="C268" s="30" t="str">
        <f aca="false">IF($I268="","",IF(INDEX(Accounts!$R$12:$R$311,MATCH($I268,Accounts!$T$12:$T$311,0))="Check inputs","—",INDEX(Accounts!$M$12:$M$311,MATCH($I268,Accounts!$T$12:$T$311,0))))</f>
        <v/>
      </c>
      <c r="D268" s="30" t="str">
        <f aca="false">IF($I268="","",IF(INDEX(Accounts!$R$12:$R$311,MATCH($I268,Accounts!$T$12:$T$311,0))="Check inputs","—",INDEX(Accounts!$N$12:$N$311,MATCH($I268,Accounts!$T$12:$T$311,0))))</f>
        <v/>
      </c>
      <c r="E268" s="31" t="str">
        <f aca="false">IF($I268="","",IF(INDEX(Accounts!$R$12:$R$311,MATCH($I268,Accounts!$T$12:$T$311,0))="Check inputs","—",INDEX(Accounts!$O$12:$O$311,MATCH($I268,Accounts!$T$12:$T$311,0))))</f>
        <v/>
      </c>
      <c r="F268" s="30" t="str">
        <f aca="false">IF($I268="","",IF(INDEX(Accounts!$R$12:$R$311,MATCH($I268,Accounts!$T$12:$T$311,0))="Check inputs","—",INDEX(Accounts!$P$12:$P$311,MATCH($I268,Accounts!$T$12:$T$311,0))))</f>
        <v/>
      </c>
      <c r="G268" s="30" t="str">
        <f aca="false">IF($I268="","",IF(INDEX(Accounts!$R$12:$R$311,MATCH($I268,Accounts!$T$12:$T$311,0))="Check inputs","—",INDEX(Accounts!$Q$12:$Q$311,MATCH($I268,Accounts!$T$12:$T$311,0))))</f>
        <v/>
      </c>
      <c r="H268" s="32" t="str">
        <f aca="false">IF($I268="","",IF(INDEX(Accounts!$R$12:$R$311,MATCH($I268,Accounts!$T$12:$T$311,0))="Check inputs","Check inputs: "&amp;INDEX(Accounts!$S$12:$S$311,MATCH($I268,Accounts!$T$12:$T$311,0)),INDEX(Accounts!$R$12:$R$311,MATCH($I268,Accounts!$T$12:$T$311,0))))</f>
        <v/>
      </c>
      <c r="I268" s="33" t="str">
        <f aca="false">IF(260&gt;COUNT(Accounts!$T$12:$T$311),"",SMALL(Accounts!$T$12:$T$311,260))</f>
        <v/>
      </c>
    </row>
    <row r="269" customFormat="false" ht="15" hidden="false" customHeight="false" outlineLevel="0" collapsed="false">
      <c r="A269" s="22" t="str">
        <f aca="false">IF($I269="","",INDEX(Accounts!$A$12:$A$311,MATCH($I269,Accounts!$T$12:$T$311,0))&amp;"")</f>
        <v/>
      </c>
      <c r="B269" s="30" t="str">
        <f aca="false">IF($I269="","",IF(INDEX(Accounts!$R$12:$R$311,MATCH($I269,Accounts!$T$12:$T$311,0))="Check inputs","—",INDEX(Accounts!$B$12:$B$311,MATCH($I269,Accounts!$T$12:$T$311,0))))</f>
        <v/>
      </c>
      <c r="C269" s="30" t="str">
        <f aca="false">IF($I269="","",IF(INDEX(Accounts!$R$12:$R$311,MATCH($I269,Accounts!$T$12:$T$311,0))="Check inputs","—",INDEX(Accounts!$M$12:$M$311,MATCH($I269,Accounts!$T$12:$T$311,0))))</f>
        <v/>
      </c>
      <c r="D269" s="30" t="str">
        <f aca="false">IF($I269="","",IF(INDEX(Accounts!$R$12:$R$311,MATCH($I269,Accounts!$T$12:$T$311,0))="Check inputs","—",INDEX(Accounts!$N$12:$N$311,MATCH($I269,Accounts!$T$12:$T$311,0))))</f>
        <v/>
      </c>
      <c r="E269" s="31" t="str">
        <f aca="false">IF($I269="","",IF(INDEX(Accounts!$R$12:$R$311,MATCH($I269,Accounts!$T$12:$T$311,0))="Check inputs","—",INDEX(Accounts!$O$12:$O$311,MATCH($I269,Accounts!$T$12:$T$311,0))))</f>
        <v/>
      </c>
      <c r="F269" s="30" t="str">
        <f aca="false">IF($I269="","",IF(INDEX(Accounts!$R$12:$R$311,MATCH($I269,Accounts!$T$12:$T$311,0))="Check inputs","—",INDEX(Accounts!$P$12:$P$311,MATCH($I269,Accounts!$T$12:$T$311,0))))</f>
        <v/>
      </c>
      <c r="G269" s="30" t="str">
        <f aca="false">IF($I269="","",IF(INDEX(Accounts!$R$12:$R$311,MATCH($I269,Accounts!$T$12:$T$311,0))="Check inputs","—",INDEX(Accounts!$Q$12:$Q$311,MATCH($I269,Accounts!$T$12:$T$311,0))))</f>
        <v/>
      </c>
      <c r="H269" s="32" t="str">
        <f aca="false">IF($I269="","",IF(INDEX(Accounts!$R$12:$R$311,MATCH($I269,Accounts!$T$12:$T$311,0))="Check inputs","Check inputs: "&amp;INDEX(Accounts!$S$12:$S$311,MATCH($I269,Accounts!$T$12:$T$311,0)),INDEX(Accounts!$R$12:$R$311,MATCH($I269,Accounts!$T$12:$T$311,0))))</f>
        <v/>
      </c>
      <c r="I269" s="33" t="str">
        <f aca="false">IF(261&gt;COUNT(Accounts!$T$12:$T$311),"",SMALL(Accounts!$T$12:$T$311,261))</f>
        <v/>
      </c>
    </row>
    <row r="270" customFormat="false" ht="15" hidden="false" customHeight="false" outlineLevel="0" collapsed="false">
      <c r="A270" s="22" t="str">
        <f aca="false">IF($I270="","",INDEX(Accounts!$A$12:$A$311,MATCH($I270,Accounts!$T$12:$T$311,0))&amp;"")</f>
        <v/>
      </c>
      <c r="B270" s="30" t="str">
        <f aca="false">IF($I270="","",IF(INDEX(Accounts!$R$12:$R$311,MATCH($I270,Accounts!$T$12:$T$311,0))="Check inputs","—",INDEX(Accounts!$B$12:$B$311,MATCH($I270,Accounts!$T$12:$T$311,0))))</f>
        <v/>
      </c>
      <c r="C270" s="30" t="str">
        <f aca="false">IF($I270="","",IF(INDEX(Accounts!$R$12:$R$311,MATCH($I270,Accounts!$T$12:$T$311,0))="Check inputs","—",INDEX(Accounts!$M$12:$M$311,MATCH($I270,Accounts!$T$12:$T$311,0))))</f>
        <v/>
      </c>
      <c r="D270" s="30" t="str">
        <f aca="false">IF($I270="","",IF(INDEX(Accounts!$R$12:$R$311,MATCH($I270,Accounts!$T$12:$T$311,0))="Check inputs","—",INDEX(Accounts!$N$12:$N$311,MATCH($I270,Accounts!$T$12:$T$311,0))))</f>
        <v/>
      </c>
      <c r="E270" s="31" t="str">
        <f aca="false">IF($I270="","",IF(INDEX(Accounts!$R$12:$R$311,MATCH($I270,Accounts!$T$12:$T$311,0))="Check inputs","—",INDEX(Accounts!$O$12:$O$311,MATCH($I270,Accounts!$T$12:$T$311,0))))</f>
        <v/>
      </c>
      <c r="F270" s="30" t="str">
        <f aca="false">IF($I270="","",IF(INDEX(Accounts!$R$12:$R$311,MATCH($I270,Accounts!$T$12:$T$311,0))="Check inputs","—",INDEX(Accounts!$P$12:$P$311,MATCH($I270,Accounts!$T$12:$T$311,0))))</f>
        <v/>
      </c>
      <c r="G270" s="30" t="str">
        <f aca="false">IF($I270="","",IF(INDEX(Accounts!$R$12:$R$311,MATCH($I270,Accounts!$T$12:$T$311,0))="Check inputs","—",INDEX(Accounts!$Q$12:$Q$311,MATCH($I270,Accounts!$T$12:$T$311,0))))</f>
        <v/>
      </c>
      <c r="H270" s="32" t="str">
        <f aca="false">IF($I270="","",IF(INDEX(Accounts!$R$12:$R$311,MATCH($I270,Accounts!$T$12:$T$311,0))="Check inputs","Check inputs: "&amp;INDEX(Accounts!$S$12:$S$311,MATCH($I270,Accounts!$T$12:$T$311,0)),INDEX(Accounts!$R$12:$R$311,MATCH($I270,Accounts!$T$12:$T$311,0))))</f>
        <v/>
      </c>
      <c r="I270" s="33" t="str">
        <f aca="false">IF(262&gt;COUNT(Accounts!$T$12:$T$311),"",SMALL(Accounts!$T$12:$T$311,262))</f>
        <v/>
      </c>
    </row>
    <row r="271" customFormat="false" ht="15" hidden="false" customHeight="false" outlineLevel="0" collapsed="false">
      <c r="A271" s="22" t="str">
        <f aca="false">IF($I271="","",INDEX(Accounts!$A$12:$A$311,MATCH($I271,Accounts!$T$12:$T$311,0))&amp;"")</f>
        <v/>
      </c>
      <c r="B271" s="30" t="str">
        <f aca="false">IF($I271="","",IF(INDEX(Accounts!$R$12:$R$311,MATCH($I271,Accounts!$T$12:$T$311,0))="Check inputs","—",INDEX(Accounts!$B$12:$B$311,MATCH($I271,Accounts!$T$12:$T$311,0))))</f>
        <v/>
      </c>
      <c r="C271" s="30" t="str">
        <f aca="false">IF($I271="","",IF(INDEX(Accounts!$R$12:$R$311,MATCH($I271,Accounts!$T$12:$T$311,0))="Check inputs","—",INDEX(Accounts!$M$12:$M$311,MATCH($I271,Accounts!$T$12:$T$311,0))))</f>
        <v/>
      </c>
      <c r="D271" s="30" t="str">
        <f aca="false">IF($I271="","",IF(INDEX(Accounts!$R$12:$R$311,MATCH($I271,Accounts!$T$12:$T$311,0))="Check inputs","—",INDEX(Accounts!$N$12:$N$311,MATCH($I271,Accounts!$T$12:$T$311,0))))</f>
        <v/>
      </c>
      <c r="E271" s="31" t="str">
        <f aca="false">IF($I271="","",IF(INDEX(Accounts!$R$12:$R$311,MATCH($I271,Accounts!$T$12:$T$311,0))="Check inputs","—",INDEX(Accounts!$O$12:$O$311,MATCH($I271,Accounts!$T$12:$T$311,0))))</f>
        <v/>
      </c>
      <c r="F271" s="30" t="str">
        <f aca="false">IF($I271="","",IF(INDEX(Accounts!$R$12:$R$311,MATCH($I271,Accounts!$T$12:$T$311,0))="Check inputs","—",INDEX(Accounts!$P$12:$P$311,MATCH($I271,Accounts!$T$12:$T$311,0))))</f>
        <v/>
      </c>
      <c r="G271" s="30" t="str">
        <f aca="false">IF($I271="","",IF(INDEX(Accounts!$R$12:$R$311,MATCH($I271,Accounts!$T$12:$T$311,0))="Check inputs","—",INDEX(Accounts!$Q$12:$Q$311,MATCH($I271,Accounts!$T$12:$T$311,0))))</f>
        <v/>
      </c>
      <c r="H271" s="32" t="str">
        <f aca="false">IF($I271="","",IF(INDEX(Accounts!$R$12:$R$311,MATCH($I271,Accounts!$T$12:$T$311,0))="Check inputs","Check inputs: "&amp;INDEX(Accounts!$S$12:$S$311,MATCH($I271,Accounts!$T$12:$T$311,0)),INDEX(Accounts!$R$12:$R$311,MATCH($I271,Accounts!$T$12:$T$311,0))))</f>
        <v/>
      </c>
      <c r="I271" s="33" t="str">
        <f aca="false">IF(263&gt;COUNT(Accounts!$T$12:$T$311),"",SMALL(Accounts!$T$12:$T$311,263))</f>
        <v/>
      </c>
    </row>
    <row r="272" customFormat="false" ht="15" hidden="false" customHeight="false" outlineLevel="0" collapsed="false">
      <c r="A272" s="22" t="str">
        <f aca="false">IF($I272="","",INDEX(Accounts!$A$12:$A$311,MATCH($I272,Accounts!$T$12:$T$311,0))&amp;"")</f>
        <v/>
      </c>
      <c r="B272" s="30" t="str">
        <f aca="false">IF($I272="","",IF(INDEX(Accounts!$R$12:$R$311,MATCH($I272,Accounts!$T$12:$T$311,0))="Check inputs","—",INDEX(Accounts!$B$12:$B$311,MATCH($I272,Accounts!$T$12:$T$311,0))))</f>
        <v/>
      </c>
      <c r="C272" s="30" t="str">
        <f aca="false">IF($I272="","",IF(INDEX(Accounts!$R$12:$R$311,MATCH($I272,Accounts!$T$12:$T$311,0))="Check inputs","—",INDEX(Accounts!$M$12:$M$311,MATCH($I272,Accounts!$T$12:$T$311,0))))</f>
        <v/>
      </c>
      <c r="D272" s="30" t="str">
        <f aca="false">IF($I272="","",IF(INDEX(Accounts!$R$12:$R$311,MATCH($I272,Accounts!$T$12:$T$311,0))="Check inputs","—",INDEX(Accounts!$N$12:$N$311,MATCH($I272,Accounts!$T$12:$T$311,0))))</f>
        <v/>
      </c>
      <c r="E272" s="31" t="str">
        <f aca="false">IF($I272="","",IF(INDEX(Accounts!$R$12:$R$311,MATCH($I272,Accounts!$T$12:$T$311,0))="Check inputs","—",INDEX(Accounts!$O$12:$O$311,MATCH($I272,Accounts!$T$12:$T$311,0))))</f>
        <v/>
      </c>
      <c r="F272" s="30" t="str">
        <f aca="false">IF($I272="","",IF(INDEX(Accounts!$R$12:$R$311,MATCH($I272,Accounts!$T$12:$T$311,0))="Check inputs","—",INDEX(Accounts!$P$12:$P$311,MATCH($I272,Accounts!$T$12:$T$311,0))))</f>
        <v/>
      </c>
      <c r="G272" s="30" t="str">
        <f aca="false">IF($I272="","",IF(INDEX(Accounts!$R$12:$R$311,MATCH($I272,Accounts!$T$12:$T$311,0))="Check inputs","—",INDEX(Accounts!$Q$12:$Q$311,MATCH($I272,Accounts!$T$12:$T$311,0))))</f>
        <v/>
      </c>
      <c r="H272" s="32" t="str">
        <f aca="false">IF($I272="","",IF(INDEX(Accounts!$R$12:$R$311,MATCH($I272,Accounts!$T$12:$T$311,0))="Check inputs","Check inputs: "&amp;INDEX(Accounts!$S$12:$S$311,MATCH($I272,Accounts!$T$12:$T$311,0)),INDEX(Accounts!$R$12:$R$311,MATCH($I272,Accounts!$T$12:$T$311,0))))</f>
        <v/>
      </c>
      <c r="I272" s="33" t="str">
        <f aca="false">IF(264&gt;COUNT(Accounts!$T$12:$T$311),"",SMALL(Accounts!$T$12:$T$311,264))</f>
        <v/>
      </c>
    </row>
    <row r="273" customFormat="false" ht="15" hidden="false" customHeight="false" outlineLevel="0" collapsed="false">
      <c r="A273" s="22" t="str">
        <f aca="false">IF($I273="","",INDEX(Accounts!$A$12:$A$311,MATCH($I273,Accounts!$T$12:$T$311,0))&amp;"")</f>
        <v/>
      </c>
      <c r="B273" s="30" t="str">
        <f aca="false">IF($I273="","",IF(INDEX(Accounts!$R$12:$R$311,MATCH($I273,Accounts!$T$12:$T$311,0))="Check inputs","—",INDEX(Accounts!$B$12:$B$311,MATCH($I273,Accounts!$T$12:$T$311,0))))</f>
        <v/>
      </c>
      <c r="C273" s="30" t="str">
        <f aca="false">IF($I273="","",IF(INDEX(Accounts!$R$12:$R$311,MATCH($I273,Accounts!$T$12:$T$311,0))="Check inputs","—",INDEX(Accounts!$M$12:$M$311,MATCH($I273,Accounts!$T$12:$T$311,0))))</f>
        <v/>
      </c>
      <c r="D273" s="30" t="str">
        <f aca="false">IF($I273="","",IF(INDEX(Accounts!$R$12:$R$311,MATCH($I273,Accounts!$T$12:$T$311,0))="Check inputs","—",INDEX(Accounts!$N$12:$N$311,MATCH($I273,Accounts!$T$12:$T$311,0))))</f>
        <v/>
      </c>
      <c r="E273" s="31" t="str">
        <f aca="false">IF($I273="","",IF(INDEX(Accounts!$R$12:$R$311,MATCH($I273,Accounts!$T$12:$T$311,0))="Check inputs","—",INDEX(Accounts!$O$12:$O$311,MATCH($I273,Accounts!$T$12:$T$311,0))))</f>
        <v/>
      </c>
      <c r="F273" s="30" t="str">
        <f aca="false">IF($I273="","",IF(INDEX(Accounts!$R$12:$R$311,MATCH($I273,Accounts!$T$12:$T$311,0))="Check inputs","—",INDEX(Accounts!$P$12:$P$311,MATCH($I273,Accounts!$T$12:$T$311,0))))</f>
        <v/>
      </c>
      <c r="G273" s="30" t="str">
        <f aca="false">IF($I273="","",IF(INDEX(Accounts!$R$12:$R$311,MATCH($I273,Accounts!$T$12:$T$311,0))="Check inputs","—",INDEX(Accounts!$Q$12:$Q$311,MATCH($I273,Accounts!$T$12:$T$311,0))))</f>
        <v/>
      </c>
      <c r="H273" s="32" t="str">
        <f aca="false">IF($I273="","",IF(INDEX(Accounts!$R$12:$R$311,MATCH($I273,Accounts!$T$12:$T$311,0))="Check inputs","Check inputs: "&amp;INDEX(Accounts!$S$12:$S$311,MATCH($I273,Accounts!$T$12:$T$311,0)),INDEX(Accounts!$R$12:$R$311,MATCH($I273,Accounts!$T$12:$T$311,0))))</f>
        <v/>
      </c>
      <c r="I273" s="33" t="str">
        <f aca="false">IF(265&gt;COUNT(Accounts!$T$12:$T$311),"",SMALL(Accounts!$T$12:$T$311,265))</f>
        <v/>
      </c>
    </row>
    <row r="274" customFormat="false" ht="15" hidden="false" customHeight="false" outlineLevel="0" collapsed="false">
      <c r="A274" s="22" t="str">
        <f aca="false">IF($I274="","",INDEX(Accounts!$A$12:$A$311,MATCH($I274,Accounts!$T$12:$T$311,0))&amp;"")</f>
        <v/>
      </c>
      <c r="B274" s="30" t="str">
        <f aca="false">IF($I274="","",IF(INDEX(Accounts!$R$12:$R$311,MATCH($I274,Accounts!$T$12:$T$311,0))="Check inputs","—",INDEX(Accounts!$B$12:$B$311,MATCH($I274,Accounts!$T$12:$T$311,0))))</f>
        <v/>
      </c>
      <c r="C274" s="30" t="str">
        <f aca="false">IF($I274="","",IF(INDEX(Accounts!$R$12:$R$311,MATCH($I274,Accounts!$T$12:$T$311,0))="Check inputs","—",INDEX(Accounts!$M$12:$M$311,MATCH($I274,Accounts!$T$12:$T$311,0))))</f>
        <v/>
      </c>
      <c r="D274" s="30" t="str">
        <f aca="false">IF($I274="","",IF(INDEX(Accounts!$R$12:$R$311,MATCH($I274,Accounts!$T$12:$T$311,0))="Check inputs","—",INDEX(Accounts!$N$12:$N$311,MATCH($I274,Accounts!$T$12:$T$311,0))))</f>
        <v/>
      </c>
      <c r="E274" s="31" t="str">
        <f aca="false">IF($I274="","",IF(INDEX(Accounts!$R$12:$R$311,MATCH($I274,Accounts!$T$12:$T$311,0))="Check inputs","—",INDEX(Accounts!$O$12:$O$311,MATCH($I274,Accounts!$T$12:$T$311,0))))</f>
        <v/>
      </c>
      <c r="F274" s="30" t="str">
        <f aca="false">IF($I274="","",IF(INDEX(Accounts!$R$12:$R$311,MATCH($I274,Accounts!$T$12:$T$311,0))="Check inputs","—",INDEX(Accounts!$P$12:$P$311,MATCH($I274,Accounts!$T$12:$T$311,0))))</f>
        <v/>
      </c>
      <c r="G274" s="30" t="str">
        <f aca="false">IF($I274="","",IF(INDEX(Accounts!$R$12:$R$311,MATCH($I274,Accounts!$T$12:$T$311,0))="Check inputs","—",INDEX(Accounts!$Q$12:$Q$311,MATCH($I274,Accounts!$T$12:$T$311,0))))</f>
        <v/>
      </c>
      <c r="H274" s="32" t="str">
        <f aca="false">IF($I274="","",IF(INDEX(Accounts!$R$12:$R$311,MATCH($I274,Accounts!$T$12:$T$311,0))="Check inputs","Check inputs: "&amp;INDEX(Accounts!$S$12:$S$311,MATCH($I274,Accounts!$T$12:$T$311,0)),INDEX(Accounts!$R$12:$R$311,MATCH($I274,Accounts!$T$12:$T$311,0))))</f>
        <v/>
      </c>
      <c r="I274" s="33" t="str">
        <f aca="false">IF(266&gt;COUNT(Accounts!$T$12:$T$311),"",SMALL(Accounts!$T$12:$T$311,266))</f>
        <v/>
      </c>
    </row>
    <row r="275" customFormat="false" ht="15" hidden="false" customHeight="false" outlineLevel="0" collapsed="false">
      <c r="A275" s="22" t="str">
        <f aca="false">IF($I275="","",INDEX(Accounts!$A$12:$A$311,MATCH($I275,Accounts!$T$12:$T$311,0))&amp;"")</f>
        <v/>
      </c>
      <c r="B275" s="30" t="str">
        <f aca="false">IF($I275="","",IF(INDEX(Accounts!$R$12:$R$311,MATCH($I275,Accounts!$T$12:$T$311,0))="Check inputs","—",INDEX(Accounts!$B$12:$B$311,MATCH($I275,Accounts!$T$12:$T$311,0))))</f>
        <v/>
      </c>
      <c r="C275" s="30" t="str">
        <f aca="false">IF($I275="","",IF(INDEX(Accounts!$R$12:$R$311,MATCH($I275,Accounts!$T$12:$T$311,0))="Check inputs","—",INDEX(Accounts!$M$12:$M$311,MATCH($I275,Accounts!$T$12:$T$311,0))))</f>
        <v/>
      </c>
      <c r="D275" s="30" t="str">
        <f aca="false">IF($I275="","",IF(INDEX(Accounts!$R$12:$R$311,MATCH($I275,Accounts!$T$12:$T$311,0))="Check inputs","—",INDEX(Accounts!$N$12:$N$311,MATCH($I275,Accounts!$T$12:$T$311,0))))</f>
        <v/>
      </c>
      <c r="E275" s="31" t="str">
        <f aca="false">IF($I275="","",IF(INDEX(Accounts!$R$12:$R$311,MATCH($I275,Accounts!$T$12:$T$311,0))="Check inputs","—",INDEX(Accounts!$O$12:$O$311,MATCH($I275,Accounts!$T$12:$T$311,0))))</f>
        <v/>
      </c>
      <c r="F275" s="30" t="str">
        <f aca="false">IF($I275="","",IF(INDEX(Accounts!$R$12:$R$311,MATCH($I275,Accounts!$T$12:$T$311,0))="Check inputs","—",INDEX(Accounts!$P$12:$P$311,MATCH($I275,Accounts!$T$12:$T$311,0))))</f>
        <v/>
      </c>
      <c r="G275" s="30" t="str">
        <f aca="false">IF($I275="","",IF(INDEX(Accounts!$R$12:$R$311,MATCH($I275,Accounts!$T$12:$T$311,0))="Check inputs","—",INDEX(Accounts!$Q$12:$Q$311,MATCH($I275,Accounts!$T$12:$T$311,0))))</f>
        <v/>
      </c>
      <c r="H275" s="32" t="str">
        <f aca="false">IF($I275="","",IF(INDEX(Accounts!$R$12:$R$311,MATCH($I275,Accounts!$T$12:$T$311,0))="Check inputs","Check inputs: "&amp;INDEX(Accounts!$S$12:$S$311,MATCH($I275,Accounts!$T$12:$T$311,0)),INDEX(Accounts!$R$12:$R$311,MATCH($I275,Accounts!$T$12:$T$311,0))))</f>
        <v/>
      </c>
      <c r="I275" s="33" t="str">
        <f aca="false">IF(267&gt;COUNT(Accounts!$T$12:$T$311),"",SMALL(Accounts!$T$12:$T$311,267))</f>
        <v/>
      </c>
    </row>
    <row r="276" customFormat="false" ht="15" hidden="false" customHeight="false" outlineLevel="0" collapsed="false">
      <c r="A276" s="22" t="str">
        <f aca="false">IF($I276="","",INDEX(Accounts!$A$12:$A$311,MATCH($I276,Accounts!$T$12:$T$311,0))&amp;"")</f>
        <v/>
      </c>
      <c r="B276" s="30" t="str">
        <f aca="false">IF($I276="","",IF(INDEX(Accounts!$R$12:$R$311,MATCH($I276,Accounts!$T$12:$T$311,0))="Check inputs","—",INDEX(Accounts!$B$12:$B$311,MATCH($I276,Accounts!$T$12:$T$311,0))))</f>
        <v/>
      </c>
      <c r="C276" s="30" t="str">
        <f aca="false">IF($I276="","",IF(INDEX(Accounts!$R$12:$R$311,MATCH($I276,Accounts!$T$12:$T$311,0))="Check inputs","—",INDEX(Accounts!$M$12:$M$311,MATCH($I276,Accounts!$T$12:$T$311,0))))</f>
        <v/>
      </c>
      <c r="D276" s="30" t="str">
        <f aca="false">IF($I276="","",IF(INDEX(Accounts!$R$12:$R$311,MATCH($I276,Accounts!$T$12:$T$311,0))="Check inputs","—",INDEX(Accounts!$N$12:$N$311,MATCH($I276,Accounts!$T$12:$T$311,0))))</f>
        <v/>
      </c>
      <c r="E276" s="31" t="str">
        <f aca="false">IF($I276="","",IF(INDEX(Accounts!$R$12:$R$311,MATCH($I276,Accounts!$T$12:$T$311,0))="Check inputs","—",INDEX(Accounts!$O$12:$O$311,MATCH($I276,Accounts!$T$12:$T$311,0))))</f>
        <v/>
      </c>
      <c r="F276" s="30" t="str">
        <f aca="false">IF($I276="","",IF(INDEX(Accounts!$R$12:$R$311,MATCH($I276,Accounts!$T$12:$T$311,0))="Check inputs","—",INDEX(Accounts!$P$12:$P$311,MATCH($I276,Accounts!$T$12:$T$311,0))))</f>
        <v/>
      </c>
      <c r="G276" s="30" t="str">
        <f aca="false">IF($I276="","",IF(INDEX(Accounts!$R$12:$R$311,MATCH($I276,Accounts!$T$12:$T$311,0))="Check inputs","—",INDEX(Accounts!$Q$12:$Q$311,MATCH($I276,Accounts!$T$12:$T$311,0))))</f>
        <v/>
      </c>
      <c r="H276" s="32" t="str">
        <f aca="false">IF($I276="","",IF(INDEX(Accounts!$R$12:$R$311,MATCH($I276,Accounts!$T$12:$T$311,0))="Check inputs","Check inputs: "&amp;INDEX(Accounts!$S$12:$S$311,MATCH($I276,Accounts!$T$12:$T$311,0)),INDEX(Accounts!$R$12:$R$311,MATCH($I276,Accounts!$T$12:$T$311,0))))</f>
        <v/>
      </c>
      <c r="I276" s="33" t="str">
        <f aca="false">IF(268&gt;COUNT(Accounts!$T$12:$T$311),"",SMALL(Accounts!$T$12:$T$311,268))</f>
        <v/>
      </c>
    </row>
    <row r="277" customFormat="false" ht="15" hidden="false" customHeight="false" outlineLevel="0" collapsed="false">
      <c r="A277" s="22" t="str">
        <f aca="false">IF($I277="","",INDEX(Accounts!$A$12:$A$311,MATCH($I277,Accounts!$T$12:$T$311,0))&amp;"")</f>
        <v/>
      </c>
      <c r="B277" s="30" t="str">
        <f aca="false">IF($I277="","",IF(INDEX(Accounts!$R$12:$R$311,MATCH($I277,Accounts!$T$12:$T$311,0))="Check inputs","—",INDEX(Accounts!$B$12:$B$311,MATCH($I277,Accounts!$T$12:$T$311,0))))</f>
        <v/>
      </c>
      <c r="C277" s="30" t="str">
        <f aca="false">IF($I277="","",IF(INDEX(Accounts!$R$12:$R$311,MATCH($I277,Accounts!$T$12:$T$311,0))="Check inputs","—",INDEX(Accounts!$M$12:$M$311,MATCH($I277,Accounts!$T$12:$T$311,0))))</f>
        <v/>
      </c>
      <c r="D277" s="30" t="str">
        <f aca="false">IF($I277="","",IF(INDEX(Accounts!$R$12:$R$311,MATCH($I277,Accounts!$T$12:$T$311,0))="Check inputs","—",INDEX(Accounts!$N$12:$N$311,MATCH($I277,Accounts!$T$12:$T$311,0))))</f>
        <v/>
      </c>
      <c r="E277" s="31" t="str">
        <f aca="false">IF($I277="","",IF(INDEX(Accounts!$R$12:$R$311,MATCH($I277,Accounts!$T$12:$T$311,0))="Check inputs","—",INDEX(Accounts!$O$12:$O$311,MATCH($I277,Accounts!$T$12:$T$311,0))))</f>
        <v/>
      </c>
      <c r="F277" s="30" t="str">
        <f aca="false">IF($I277="","",IF(INDEX(Accounts!$R$12:$R$311,MATCH($I277,Accounts!$T$12:$T$311,0))="Check inputs","—",INDEX(Accounts!$P$12:$P$311,MATCH($I277,Accounts!$T$12:$T$311,0))))</f>
        <v/>
      </c>
      <c r="G277" s="30" t="str">
        <f aca="false">IF($I277="","",IF(INDEX(Accounts!$R$12:$R$311,MATCH($I277,Accounts!$T$12:$T$311,0))="Check inputs","—",INDEX(Accounts!$Q$12:$Q$311,MATCH($I277,Accounts!$T$12:$T$311,0))))</f>
        <v/>
      </c>
      <c r="H277" s="32" t="str">
        <f aca="false">IF($I277="","",IF(INDEX(Accounts!$R$12:$R$311,MATCH($I277,Accounts!$T$12:$T$311,0))="Check inputs","Check inputs: "&amp;INDEX(Accounts!$S$12:$S$311,MATCH($I277,Accounts!$T$12:$T$311,0)),INDEX(Accounts!$R$12:$R$311,MATCH($I277,Accounts!$T$12:$T$311,0))))</f>
        <v/>
      </c>
      <c r="I277" s="33" t="str">
        <f aca="false">IF(269&gt;COUNT(Accounts!$T$12:$T$311),"",SMALL(Accounts!$T$12:$T$311,269))</f>
        <v/>
      </c>
    </row>
    <row r="278" customFormat="false" ht="15" hidden="false" customHeight="false" outlineLevel="0" collapsed="false">
      <c r="A278" s="22" t="str">
        <f aca="false">IF($I278="","",INDEX(Accounts!$A$12:$A$311,MATCH($I278,Accounts!$T$12:$T$311,0))&amp;"")</f>
        <v/>
      </c>
      <c r="B278" s="30" t="str">
        <f aca="false">IF($I278="","",IF(INDEX(Accounts!$R$12:$R$311,MATCH($I278,Accounts!$T$12:$T$311,0))="Check inputs","—",INDEX(Accounts!$B$12:$B$311,MATCH($I278,Accounts!$T$12:$T$311,0))))</f>
        <v/>
      </c>
      <c r="C278" s="30" t="str">
        <f aca="false">IF($I278="","",IF(INDEX(Accounts!$R$12:$R$311,MATCH($I278,Accounts!$T$12:$T$311,0))="Check inputs","—",INDEX(Accounts!$M$12:$M$311,MATCH($I278,Accounts!$T$12:$T$311,0))))</f>
        <v/>
      </c>
      <c r="D278" s="30" t="str">
        <f aca="false">IF($I278="","",IF(INDEX(Accounts!$R$12:$R$311,MATCH($I278,Accounts!$T$12:$T$311,0))="Check inputs","—",INDEX(Accounts!$N$12:$N$311,MATCH($I278,Accounts!$T$12:$T$311,0))))</f>
        <v/>
      </c>
      <c r="E278" s="31" t="str">
        <f aca="false">IF($I278="","",IF(INDEX(Accounts!$R$12:$R$311,MATCH($I278,Accounts!$T$12:$T$311,0))="Check inputs","—",INDEX(Accounts!$O$12:$O$311,MATCH($I278,Accounts!$T$12:$T$311,0))))</f>
        <v/>
      </c>
      <c r="F278" s="30" t="str">
        <f aca="false">IF($I278="","",IF(INDEX(Accounts!$R$12:$R$311,MATCH($I278,Accounts!$T$12:$T$311,0))="Check inputs","—",INDEX(Accounts!$P$12:$P$311,MATCH($I278,Accounts!$T$12:$T$311,0))))</f>
        <v/>
      </c>
      <c r="G278" s="30" t="str">
        <f aca="false">IF($I278="","",IF(INDEX(Accounts!$R$12:$R$311,MATCH($I278,Accounts!$T$12:$T$311,0))="Check inputs","—",INDEX(Accounts!$Q$12:$Q$311,MATCH($I278,Accounts!$T$12:$T$311,0))))</f>
        <v/>
      </c>
      <c r="H278" s="32" t="str">
        <f aca="false">IF($I278="","",IF(INDEX(Accounts!$R$12:$R$311,MATCH($I278,Accounts!$T$12:$T$311,0))="Check inputs","Check inputs: "&amp;INDEX(Accounts!$S$12:$S$311,MATCH($I278,Accounts!$T$12:$T$311,0)),INDEX(Accounts!$R$12:$R$311,MATCH($I278,Accounts!$T$12:$T$311,0))))</f>
        <v/>
      </c>
      <c r="I278" s="33" t="str">
        <f aca="false">IF(270&gt;COUNT(Accounts!$T$12:$T$311),"",SMALL(Accounts!$T$12:$T$311,270))</f>
        <v/>
      </c>
    </row>
    <row r="279" customFormat="false" ht="15" hidden="false" customHeight="false" outlineLevel="0" collapsed="false">
      <c r="A279" s="22" t="str">
        <f aca="false">IF($I279="","",INDEX(Accounts!$A$12:$A$311,MATCH($I279,Accounts!$T$12:$T$311,0))&amp;"")</f>
        <v/>
      </c>
      <c r="B279" s="30" t="str">
        <f aca="false">IF($I279="","",IF(INDEX(Accounts!$R$12:$R$311,MATCH($I279,Accounts!$T$12:$T$311,0))="Check inputs","—",INDEX(Accounts!$B$12:$B$311,MATCH($I279,Accounts!$T$12:$T$311,0))))</f>
        <v/>
      </c>
      <c r="C279" s="30" t="str">
        <f aca="false">IF($I279="","",IF(INDEX(Accounts!$R$12:$R$311,MATCH($I279,Accounts!$T$12:$T$311,0))="Check inputs","—",INDEX(Accounts!$M$12:$M$311,MATCH($I279,Accounts!$T$12:$T$311,0))))</f>
        <v/>
      </c>
      <c r="D279" s="30" t="str">
        <f aca="false">IF($I279="","",IF(INDEX(Accounts!$R$12:$R$311,MATCH($I279,Accounts!$T$12:$T$311,0))="Check inputs","—",INDEX(Accounts!$N$12:$N$311,MATCH($I279,Accounts!$T$12:$T$311,0))))</f>
        <v/>
      </c>
      <c r="E279" s="31" t="str">
        <f aca="false">IF($I279="","",IF(INDEX(Accounts!$R$12:$R$311,MATCH($I279,Accounts!$T$12:$T$311,0))="Check inputs","—",INDEX(Accounts!$O$12:$O$311,MATCH($I279,Accounts!$T$12:$T$311,0))))</f>
        <v/>
      </c>
      <c r="F279" s="30" t="str">
        <f aca="false">IF($I279="","",IF(INDEX(Accounts!$R$12:$R$311,MATCH($I279,Accounts!$T$12:$T$311,0))="Check inputs","—",INDEX(Accounts!$P$12:$P$311,MATCH($I279,Accounts!$T$12:$T$311,0))))</f>
        <v/>
      </c>
      <c r="G279" s="30" t="str">
        <f aca="false">IF($I279="","",IF(INDEX(Accounts!$R$12:$R$311,MATCH($I279,Accounts!$T$12:$T$311,0))="Check inputs","—",INDEX(Accounts!$Q$12:$Q$311,MATCH($I279,Accounts!$T$12:$T$311,0))))</f>
        <v/>
      </c>
      <c r="H279" s="32" t="str">
        <f aca="false">IF($I279="","",IF(INDEX(Accounts!$R$12:$R$311,MATCH($I279,Accounts!$T$12:$T$311,0))="Check inputs","Check inputs: "&amp;INDEX(Accounts!$S$12:$S$311,MATCH($I279,Accounts!$T$12:$T$311,0)),INDEX(Accounts!$R$12:$R$311,MATCH($I279,Accounts!$T$12:$T$311,0))))</f>
        <v/>
      </c>
      <c r="I279" s="33" t="str">
        <f aca="false">IF(271&gt;COUNT(Accounts!$T$12:$T$311),"",SMALL(Accounts!$T$12:$T$311,271))</f>
        <v/>
      </c>
    </row>
    <row r="280" customFormat="false" ht="15" hidden="false" customHeight="false" outlineLevel="0" collapsed="false">
      <c r="A280" s="22" t="str">
        <f aca="false">IF($I280="","",INDEX(Accounts!$A$12:$A$311,MATCH($I280,Accounts!$T$12:$T$311,0))&amp;"")</f>
        <v/>
      </c>
      <c r="B280" s="30" t="str">
        <f aca="false">IF($I280="","",IF(INDEX(Accounts!$R$12:$R$311,MATCH($I280,Accounts!$T$12:$T$311,0))="Check inputs","—",INDEX(Accounts!$B$12:$B$311,MATCH($I280,Accounts!$T$12:$T$311,0))))</f>
        <v/>
      </c>
      <c r="C280" s="30" t="str">
        <f aca="false">IF($I280="","",IF(INDEX(Accounts!$R$12:$R$311,MATCH($I280,Accounts!$T$12:$T$311,0))="Check inputs","—",INDEX(Accounts!$M$12:$M$311,MATCH($I280,Accounts!$T$12:$T$311,0))))</f>
        <v/>
      </c>
      <c r="D280" s="30" t="str">
        <f aca="false">IF($I280="","",IF(INDEX(Accounts!$R$12:$R$311,MATCH($I280,Accounts!$T$12:$T$311,0))="Check inputs","—",INDEX(Accounts!$N$12:$N$311,MATCH($I280,Accounts!$T$12:$T$311,0))))</f>
        <v/>
      </c>
      <c r="E280" s="31" t="str">
        <f aca="false">IF($I280="","",IF(INDEX(Accounts!$R$12:$R$311,MATCH($I280,Accounts!$T$12:$T$311,0))="Check inputs","—",INDEX(Accounts!$O$12:$O$311,MATCH($I280,Accounts!$T$12:$T$311,0))))</f>
        <v/>
      </c>
      <c r="F280" s="30" t="str">
        <f aca="false">IF($I280="","",IF(INDEX(Accounts!$R$12:$R$311,MATCH($I280,Accounts!$T$12:$T$311,0))="Check inputs","—",INDEX(Accounts!$P$12:$P$311,MATCH($I280,Accounts!$T$12:$T$311,0))))</f>
        <v/>
      </c>
      <c r="G280" s="30" t="str">
        <f aca="false">IF($I280="","",IF(INDEX(Accounts!$R$12:$R$311,MATCH($I280,Accounts!$T$12:$T$311,0))="Check inputs","—",INDEX(Accounts!$Q$12:$Q$311,MATCH($I280,Accounts!$T$12:$T$311,0))))</f>
        <v/>
      </c>
      <c r="H280" s="32" t="str">
        <f aca="false">IF($I280="","",IF(INDEX(Accounts!$R$12:$R$311,MATCH($I280,Accounts!$T$12:$T$311,0))="Check inputs","Check inputs: "&amp;INDEX(Accounts!$S$12:$S$311,MATCH($I280,Accounts!$T$12:$T$311,0)),INDEX(Accounts!$R$12:$R$311,MATCH($I280,Accounts!$T$12:$T$311,0))))</f>
        <v/>
      </c>
      <c r="I280" s="33" t="str">
        <f aca="false">IF(272&gt;COUNT(Accounts!$T$12:$T$311),"",SMALL(Accounts!$T$12:$T$311,272))</f>
        <v/>
      </c>
    </row>
    <row r="281" customFormat="false" ht="15" hidden="false" customHeight="false" outlineLevel="0" collapsed="false">
      <c r="A281" s="22" t="str">
        <f aca="false">IF($I281="","",INDEX(Accounts!$A$12:$A$311,MATCH($I281,Accounts!$T$12:$T$311,0))&amp;"")</f>
        <v/>
      </c>
      <c r="B281" s="30" t="str">
        <f aca="false">IF($I281="","",IF(INDEX(Accounts!$R$12:$R$311,MATCH($I281,Accounts!$T$12:$T$311,0))="Check inputs","—",INDEX(Accounts!$B$12:$B$311,MATCH($I281,Accounts!$T$12:$T$311,0))))</f>
        <v/>
      </c>
      <c r="C281" s="30" t="str">
        <f aca="false">IF($I281="","",IF(INDEX(Accounts!$R$12:$R$311,MATCH($I281,Accounts!$T$12:$T$311,0))="Check inputs","—",INDEX(Accounts!$M$12:$M$311,MATCH($I281,Accounts!$T$12:$T$311,0))))</f>
        <v/>
      </c>
      <c r="D281" s="30" t="str">
        <f aca="false">IF($I281="","",IF(INDEX(Accounts!$R$12:$R$311,MATCH($I281,Accounts!$T$12:$T$311,0))="Check inputs","—",INDEX(Accounts!$N$12:$N$311,MATCH($I281,Accounts!$T$12:$T$311,0))))</f>
        <v/>
      </c>
      <c r="E281" s="31" t="str">
        <f aca="false">IF($I281="","",IF(INDEX(Accounts!$R$12:$R$311,MATCH($I281,Accounts!$T$12:$T$311,0))="Check inputs","—",INDEX(Accounts!$O$12:$O$311,MATCH($I281,Accounts!$T$12:$T$311,0))))</f>
        <v/>
      </c>
      <c r="F281" s="30" t="str">
        <f aca="false">IF($I281="","",IF(INDEX(Accounts!$R$12:$R$311,MATCH($I281,Accounts!$T$12:$T$311,0))="Check inputs","—",INDEX(Accounts!$P$12:$P$311,MATCH($I281,Accounts!$T$12:$T$311,0))))</f>
        <v/>
      </c>
      <c r="G281" s="30" t="str">
        <f aca="false">IF($I281="","",IF(INDEX(Accounts!$R$12:$R$311,MATCH($I281,Accounts!$T$12:$T$311,0))="Check inputs","—",INDEX(Accounts!$Q$12:$Q$311,MATCH($I281,Accounts!$T$12:$T$311,0))))</f>
        <v/>
      </c>
      <c r="H281" s="32" t="str">
        <f aca="false">IF($I281="","",IF(INDEX(Accounts!$R$12:$R$311,MATCH($I281,Accounts!$T$12:$T$311,0))="Check inputs","Check inputs: "&amp;INDEX(Accounts!$S$12:$S$311,MATCH($I281,Accounts!$T$12:$T$311,0)),INDEX(Accounts!$R$12:$R$311,MATCH($I281,Accounts!$T$12:$T$311,0))))</f>
        <v/>
      </c>
      <c r="I281" s="33" t="str">
        <f aca="false">IF(273&gt;COUNT(Accounts!$T$12:$T$311),"",SMALL(Accounts!$T$12:$T$311,273))</f>
        <v/>
      </c>
    </row>
    <row r="282" customFormat="false" ht="15" hidden="false" customHeight="false" outlineLevel="0" collapsed="false">
      <c r="A282" s="22" t="str">
        <f aca="false">IF($I282="","",INDEX(Accounts!$A$12:$A$311,MATCH($I282,Accounts!$T$12:$T$311,0))&amp;"")</f>
        <v/>
      </c>
      <c r="B282" s="30" t="str">
        <f aca="false">IF($I282="","",IF(INDEX(Accounts!$R$12:$R$311,MATCH($I282,Accounts!$T$12:$T$311,0))="Check inputs","—",INDEX(Accounts!$B$12:$B$311,MATCH($I282,Accounts!$T$12:$T$311,0))))</f>
        <v/>
      </c>
      <c r="C282" s="30" t="str">
        <f aca="false">IF($I282="","",IF(INDEX(Accounts!$R$12:$R$311,MATCH($I282,Accounts!$T$12:$T$311,0))="Check inputs","—",INDEX(Accounts!$M$12:$M$311,MATCH($I282,Accounts!$T$12:$T$311,0))))</f>
        <v/>
      </c>
      <c r="D282" s="30" t="str">
        <f aca="false">IF($I282="","",IF(INDEX(Accounts!$R$12:$R$311,MATCH($I282,Accounts!$T$12:$T$311,0))="Check inputs","—",INDEX(Accounts!$N$12:$N$311,MATCH($I282,Accounts!$T$12:$T$311,0))))</f>
        <v/>
      </c>
      <c r="E282" s="31" t="str">
        <f aca="false">IF($I282="","",IF(INDEX(Accounts!$R$12:$R$311,MATCH($I282,Accounts!$T$12:$T$311,0))="Check inputs","—",INDEX(Accounts!$O$12:$O$311,MATCH($I282,Accounts!$T$12:$T$311,0))))</f>
        <v/>
      </c>
      <c r="F282" s="30" t="str">
        <f aca="false">IF($I282="","",IF(INDEX(Accounts!$R$12:$R$311,MATCH($I282,Accounts!$T$12:$T$311,0))="Check inputs","—",INDEX(Accounts!$P$12:$P$311,MATCH($I282,Accounts!$T$12:$T$311,0))))</f>
        <v/>
      </c>
      <c r="G282" s="30" t="str">
        <f aca="false">IF($I282="","",IF(INDEX(Accounts!$R$12:$R$311,MATCH($I282,Accounts!$T$12:$T$311,0))="Check inputs","—",INDEX(Accounts!$Q$12:$Q$311,MATCH($I282,Accounts!$T$12:$T$311,0))))</f>
        <v/>
      </c>
      <c r="H282" s="32" t="str">
        <f aca="false">IF($I282="","",IF(INDEX(Accounts!$R$12:$R$311,MATCH($I282,Accounts!$T$12:$T$311,0))="Check inputs","Check inputs: "&amp;INDEX(Accounts!$S$12:$S$311,MATCH($I282,Accounts!$T$12:$T$311,0)),INDEX(Accounts!$R$12:$R$311,MATCH($I282,Accounts!$T$12:$T$311,0))))</f>
        <v/>
      </c>
      <c r="I282" s="33" t="str">
        <f aca="false">IF(274&gt;COUNT(Accounts!$T$12:$T$311),"",SMALL(Accounts!$T$12:$T$311,274))</f>
        <v/>
      </c>
    </row>
    <row r="283" customFormat="false" ht="15" hidden="false" customHeight="false" outlineLevel="0" collapsed="false">
      <c r="A283" s="22" t="str">
        <f aca="false">IF($I283="","",INDEX(Accounts!$A$12:$A$311,MATCH($I283,Accounts!$T$12:$T$311,0))&amp;"")</f>
        <v/>
      </c>
      <c r="B283" s="30" t="str">
        <f aca="false">IF($I283="","",IF(INDEX(Accounts!$R$12:$R$311,MATCH($I283,Accounts!$T$12:$T$311,0))="Check inputs","—",INDEX(Accounts!$B$12:$B$311,MATCH($I283,Accounts!$T$12:$T$311,0))))</f>
        <v/>
      </c>
      <c r="C283" s="30" t="str">
        <f aca="false">IF($I283="","",IF(INDEX(Accounts!$R$12:$R$311,MATCH($I283,Accounts!$T$12:$T$311,0))="Check inputs","—",INDEX(Accounts!$M$12:$M$311,MATCH($I283,Accounts!$T$12:$T$311,0))))</f>
        <v/>
      </c>
      <c r="D283" s="30" t="str">
        <f aca="false">IF($I283="","",IF(INDEX(Accounts!$R$12:$R$311,MATCH($I283,Accounts!$T$12:$T$311,0))="Check inputs","—",INDEX(Accounts!$N$12:$N$311,MATCH($I283,Accounts!$T$12:$T$311,0))))</f>
        <v/>
      </c>
      <c r="E283" s="31" t="str">
        <f aca="false">IF($I283="","",IF(INDEX(Accounts!$R$12:$R$311,MATCH($I283,Accounts!$T$12:$T$311,0))="Check inputs","—",INDEX(Accounts!$O$12:$O$311,MATCH($I283,Accounts!$T$12:$T$311,0))))</f>
        <v/>
      </c>
      <c r="F283" s="30" t="str">
        <f aca="false">IF($I283="","",IF(INDEX(Accounts!$R$12:$R$311,MATCH($I283,Accounts!$T$12:$T$311,0))="Check inputs","—",INDEX(Accounts!$P$12:$P$311,MATCH($I283,Accounts!$T$12:$T$311,0))))</f>
        <v/>
      </c>
      <c r="G283" s="30" t="str">
        <f aca="false">IF($I283="","",IF(INDEX(Accounts!$R$12:$R$311,MATCH($I283,Accounts!$T$12:$T$311,0))="Check inputs","—",INDEX(Accounts!$Q$12:$Q$311,MATCH($I283,Accounts!$T$12:$T$311,0))))</f>
        <v/>
      </c>
      <c r="H283" s="32" t="str">
        <f aca="false">IF($I283="","",IF(INDEX(Accounts!$R$12:$R$311,MATCH($I283,Accounts!$T$12:$T$311,0))="Check inputs","Check inputs: "&amp;INDEX(Accounts!$S$12:$S$311,MATCH($I283,Accounts!$T$12:$T$311,0)),INDEX(Accounts!$R$12:$R$311,MATCH($I283,Accounts!$T$12:$T$311,0))))</f>
        <v/>
      </c>
      <c r="I283" s="33" t="str">
        <f aca="false">IF(275&gt;COUNT(Accounts!$T$12:$T$311),"",SMALL(Accounts!$T$12:$T$311,275))</f>
        <v/>
      </c>
    </row>
    <row r="284" customFormat="false" ht="15" hidden="false" customHeight="false" outlineLevel="0" collapsed="false">
      <c r="A284" s="22" t="str">
        <f aca="false">IF($I284="","",INDEX(Accounts!$A$12:$A$311,MATCH($I284,Accounts!$T$12:$T$311,0))&amp;"")</f>
        <v/>
      </c>
      <c r="B284" s="30" t="str">
        <f aca="false">IF($I284="","",IF(INDEX(Accounts!$R$12:$R$311,MATCH($I284,Accounts!$T$12:$T$311,0))="Check inputs","—",INDEX(Accounts!$B$12:$B$311,MATCH($I284,Accounts!$T$12:$T$311,0))))</f>
        <v/>
      </c>
      <c r="C284" s="30" t="str">
        <f aca="false">IF($I284="","",IF(INDEX(Accounts!$R$12:$R$311,MATCH($I284,Accounts!$T$12:$T$311,0))="Check inputs","—",INDEX(Accounts!$M$12:$M$311,MATCH($I284,Accounts!$T$12:$T$311,0))))</f>
        <v/>
      </c>
      <c r="D284" s="30" t="str">
        <f aca="false">IF($I284="","",IF(INDEX(Accounts!$R$12:$R$311,MATCH($I284,Accounts!$T$12:$T$311,0))="Check inputs","—",INDEX(Accounts!$N$12:$N$311,MATCH($I284,Accounts!$T$12:$T$311,0))))</f>
        <v/>
      </c>
      <c r="E284" s="31" t="str">
        <f aca="false">IF($I284="","",IF(INDEX(Accounts!$R$12:$R$311,MATCH($I284,Accounts!$T$12:$T$311,0))="Check inputs","—",INDEX(Accounts!$O$12:$O$311,MATCH($I284,Accounts!$T$12:$T$311,0))))</f>
        <v/>
      </c>
      <c r="F284" s="30" t="str">
        <f aca="false">IF($I284="","",IF(INDEX(Accounts!$R$12:$R$311,MATCH($I284,Accounts!$T$12:$T$311,0))="Check inputs","—",INDEX(Accounts!$P$12:$P$311,MATCH($I284,Accounts!$T$12:$T$311,0))))</f>
        <v/>
      </c>
      <c r="G284" s="30" t="str">
        <f aca="false">IF($I284="","",IF(INDEX(Accounts!$R$12:$R$311,MATCH($I284,Accounts!$T$12:$T$311,0))="Check inputs","—",INDEX(Accounts!$Q$12:$Q$311,MATCH($I284,Accounts!$T$12:$T$311,0))))</f>
        <v/>
      </c>
      <c r="H284" s="32" t="str">
        <f aca="false">IF($I284="","",IF(INDEX(Accounts!$R$12:$R$311,MATCH($I284,Accounts!$T$12:$T$311,0))="Check inputs","Check inputs: "&amp;INDEX(Accounts!$S$12:$S$311,MATCH($I284,Accounts!$T$12:$T$311,0)),INDEX(Accounts!$R$12:$R$311,MATCH($I284,Accounts!$T$12:$T$311,0))))</f>
        <v/>
      </c>
      <c r="I284" s="33" t="str">
        <f aca="false">IF(276&gt;COUNT(Accounts!$T$12:$T$311),"",SMALL(Accounts!$T$12:$T$311,276))</f>
        <v/>
      </c>
    </row>
    <row r="285" customFormat="false" ht="15" hidden="false" customHeight="false" outlineLevel="0" collapsed="false">
      <c r="A285" s="22" t="str">
        <f aca="false">IF($I285="","",INDEX(Accounts!$A$12:$A$311,MATCH($I285,Accounts!$T$12:$T$311,0))&amp;"")</f>
        <v/>
      </c>
      <c r="B285" s="30" t="str">
        <f aca="false">IF($I285="","",IF(INDEX(Accounts!$R$12:$R$311,MATCH($I285,Accounts!$T$12:$T$311,0))="Check inputs","—",INDEX(Accounts!$B$12:$B$311,MATCH($I285,Accounts!$T$12:$T$311,0))))</f>
        <v/>
      </c>
      <c r="C285" s="30" t="str">
        <f aca="false">IF($I285="","",IF(INDEX(Accounts!$R$12:$R$311,MATCH($I285,Accounts!$T$12:$T$311,0))="Check inputs","—",INDEX(Accounts!$M$12:$M$311,MATCH($I285,Accounts!$T$12:$T$311,0))))</f>
        <v/>
      </c>
      <c r="D285" s="30" t="str">
        <f aca="false">IF($I285="","",IF(INDEX(Accounts!$R$12:$R$311,MATCH($I285,Accounts!$T$12:$T$311,0))="Check inputs","—",INDEX(Accounts!$N$12:$N$311,MATCH($I285,Accounts!$T$12:$T$311,0))))</f>
        <v/>
      </c>
      <c r="E285" s="31" t="str">
        <f aca="false">IF($I285="","",IF(INDEX(Accounts!$R$12:$R$311,MATCH($I285,Accounts!$T$12:$T$311,0))="Check inputs","—",INDEX(Accounts!$O$12:$O$311,MATCH($I285,Accounts!$T$12:$T$311,0))))</f>
        <v/>
      </c>
      <c r="F285" s="30" t="str">
        <f aca="false">IF($I285="","",IF(INDEX(Accounts!$R$12:$R$311,MATCH($I285,Accounts!$T$12:$T$311,0))="Check inputs","—",INDEX(Accounts!$P$12:$P$311,MATCH($I285,Accounts!$T$12:$T$311,0))))</f>
        <v/>
      </c>
      <c r="G285" s="30" t="str">
        <f aca="false">IF($I285="","",IF(INDEX(Accounts!$R$12:$R$311,MATCH($I285,Accounts!$T$12:$T$311,0))="Check inputs","—",INDEX(Accounts!$Q$12:$Q$311,MATCH($I285,Accounts!$T$12:$T$311,0))))</f>
        <v/>
      </c>
      <c r="H285" s="32" t="str">
        <f aca="false">IF($I285="","",IF(INDEX(Accounts!$R$12:$R$311,MATCH($I285,Accounts!$T$12:$T$311,0))="Check inputs","Check inputs: "&amp;INDEX(Accounts!$S$12:$S$311,MATCH($I285,Accounts!$T$12:$T$311,0)),INDEX(Accounts!$R$12:$R$311,MATCH($I285,Accounts!$T$12:$T$311,0))))</f>
        <v/>
      </c>
      <c r="I285" s="33" t="str">
        <f aca="false">IF(277&gt;COUNT(Accounts!$T$12:$T$311),"",SMALL(Accounts!$T$12:$T$311,277))</f>
        <v/>
      </c>
    </row>
    <row r="286" customFormat="false" ht="15" hidden="false" customHeight="false" outlineLevel="0" collapsed="false">
      <c r="A286" s="22" t="str">
        <f aca="false">IF($I286="","",INDEX(Accounts!$A$12:$A$311,MATCH($I286,Accounts!$T$12:$T$311,0))&amp;"")</f>
        <v/>
      </c>
      <c r="B286" s="30" t="str">
        <f aca="false">IF($I286="","",IF(INDEX(Accounts!$R$12:$R$311,MATCH($I286,Accounts!$T$12:$T$311,0))="Check inputs","—",INDEX(Accounts!$B$12:$B$311,MATCH($I286,Accounts!$T$12:$T$311,0))))</f>
        <v/>
      </c>
      <c r="C286" s="30" t="str">
        <f aca="false">IF($I286="","",IF(INDEX(Accounts!$R$12:$R$311,MATCH($I286,Accounts!$T$12:$T$311,0))="Check inputs","—",INDEX(Accounts!$M$12:$M$311,MATCH($I286,Accounts!$T$12:$T$311,0))))</f>
        <v/>
      </c>
      <c r="D286" s="30" t="str">
        <f aca="false">IF($I286="","",IF(INDEX(Accounts!$R$12:$R$311,MATCH($I286,Accounts!$T$12:$T$311,0))="Check inputs","—",INDEX(Accounts!$N$12:$N$311,MATCH($I286,Accounts!$T$12:$T$311,0))))</f>
        <v/>
      </c>
      <c r="E286" s="31" t="str">
        <f aca="false">IF($I286="","",IF(INDEX(Accounts!$R$12:$R$311,MATCH($I286,Accounts!$T$12:$T$311,0))="Check inputs","—",INDEX(Accounts!$O$12:$O$311,MATCH($I286,Accounts!$T$12:$T$311,0))))</f>
        <v/>
      </c>
      <c r="F286" s="30" t="str">
        <f aca="false">IF($I286="","",IF(INDEX(Accounts!$R$12:$R$311,MATCH($I286,Accounts!$T$12:$T$311,0))="Check inputs","—",INDEX(Accounts!$P$12:$P$311,MATCH($I286,Accounts!$T$12:$T$311,0))))</f>
        <v/>
      </c>
      <c r="G286" s="30" t="str">
        <f aca="false">IF($I286="","",IF(INDEX(Accounts!$R$12:$R$311,MATCH($I286,Accounts!$T$12:$T$311,0))="Check inputs","—",INDEX(Accounts!$Q$12:$Q$311,MATCH($I286,Accounts!$T$12:$T$311,0))))</f>
        <v/>
      </c>
      <c r="H286" s="32" t="str">
        <f aca="false">IF($I286="","",IF(INDEX(Accounts!$R$12:$R$311,MATCH($I286,Accounts!$T$12:$T$311,0))="Check inputs","Check inputs: "&amp;INDEX(Accounts!$S$12:$S$311,MATCH($I286,Accounts!$T$12:$T$311,0)),INDEX(Accounts!$R$12:$R$311,MATCH($I286,Accounts!$T$12:$T$311,0))))</f>
        <v/>
      </c>
      <c r="I286" s="33" t="str">
        <f aca="false">IF(278&gt;COUNT(Accounts!$T$12:$T$311),"",SMALL(Accounts!$T$12:$T$311,278))</f>
        <v/>
      </c>
    </row>
    <row r="287" customFormat="false" ht="15" hidden="false" customHeight="false" outlineLevel="0" collapsed="false">
      <c r="A287" s="22" t="str">
        <f aca="false">IF($I287="","",INDEX(Accounts!$A$12:$A$311,MATCH($I287,Accounts!$T$12:$T$311,0))&amp;"")</f>
        <v/>
      </c>
      <c r="B287" s="30" t="str">
        <f aca="false">IF($I287="","",IF(INDEX(Accounts!$R$12:$R$311,MATCH($I287,Accounts!$T$12:$T$311,0))="Check inputs","—",INDEX(Accounts!$B$12:$B$311,MATCH($I287,Accounts!$T$12:$T$311,0))))</f>
        <v/>
      </c>
      <c r="C287" s="30" t="str">
        <f aca="false">IF($I287="","",IF(INDEX(Accounts!$R$12:$R$311,MATCH($I287,Accounts!$T$12:$T$311,0))="Check inputs","—",INDEX(Accounts!$M$12:$M$311,MATCH($I287,Accounts!$T$12:$T$311,0))))</f>
        <v/>
      </c>
      <c r="D287" s="30" t="str">
        <f aca="false">IF($I287="","",IF(INDEX(Accounts!$R$12:$R$311,MATCH($I287,Accounts!$T$12:$T$311,0))="Check inputs","—",INDEX(Accounts!$N$12:$N$311,MATCH($I287,Accounts!$T$12:$T$311,0))))</f>
        <v/>
      </c>
      <c r="E287" s="31" t="str">
        <f aca="false">IF($I287="","",IF(INDEX(Accounts!$R$12:$R$311,MATCH($I287,Accounts!$T$12:$T$311,0))="Check inputs","—",INDEX(Accounts!$O$12:$O$311,MATCH($I287,Accounts!$T$12:$T$311,0))))</f>
        <v/>
      </c>
      <c r="F287" s="30" t="str">
        <f aca="false">IF($I287="","",IF(INDEX(Accounts!$R$12:$R$311,MATCH($I287,Accounts!$T$12:$T$311,0))="Check inputs","—",INDEX(Accounts!$P$12:$P$311,MATCH($I287,Accounts!$T$12:$T$311,0))))</f>
        <v/>
      </c>
      <c r="G287" s="30" t="str">
        <f aca="false">IF($I287="","",IF(INDEX(Accounts!$R$12:$R$311,MATCH($I287,Accounts!$T$12:$T$311,0))="Check inputs","—",INDEX(Accounts!$Q$12:$Q$311,MATCH($I287,Accounts!$T$12:$T$311,0))))</f>
        <v/>
      </c>
      <c r="H287" s="32" t="str">
        <f aca="false">IF($I287="","",IF(INDEX(Accounts!$R$12:$R$311,MATCH($I287,Accounts!$T$12:$T$311,0))="Check inputs","Check inputs: "&amp;INDEX(Accounts!$S$12:$S$311,MATCH($I287,Accounts!$T$12:$T$311,0)),INDEX(Accounts!$R$12:$R$311,MATCH($I287,Accounts!$T$12:$T$311,0))))</f>
        <v/>
      </c>
      <c r="I287" s="33" t="str">
        <f aca="false">IF(279&gt;COUNT(Accounts!$T$12:$T$311),"",SMALL(Accounts!$T$12:$T$311,279))</f>
        <v/>
      </c>
    </row>
    <row r="288" customFormat="false" ht="15" hidden="false" customHeight="false" outlineLevel="0" collapsed="false">
      <c r="A288" s="22" t="str">
        <f aca="false">IF($I288="","",INDEX(Accounts!$A$12:$A$311,MATCH($I288,Accounts!$T$12:$T$311,0))&amp;"")</f>
        <v/>
      </c>
      <c r="B288" s="30" t="str">
        <f aca="false">IF($I288="","",IF(INDEX(Accounts!$R$12:$R$311,MATCH($I288,Accounts!$T$12:$T$311,0))="Check inputs","—",INDEX(Accounts!$B$12:$B$311,MATCH($I288,Accounts!$T$12:$T$311,0))))</f>
        <v/>
      </c>
      <c r="C288" s="30" t="str">
        <f aca="false">IF($I288="","",IF(INDEX(Accounts!$R$12:$R$311,MATCH($I288,Accounts!$T$12:$T$311,0))="Check inputs","—",INDEX(Accounts!$M$12:$M$311,MATCH($I288,Accounts!$T$12:$T$311,0))))</f>
        <v/>
      </c>
      <c r="D288" s="30" t="str">
        <f aca="false">IF($I288="","",IF(INDEX(Accounts!$R$12:$R$311,MATCH($I288,Accounts!$T$12:$T$311,0))="Check inputs","—",INDEX(Accounts!$N$12:$N$311,MATCH($I288,Accounts!$T$12:$T$311,0))))</f>
        <v/>
      </c>
      <c r="E288" s="31" t="str">
        <f aca="false">IF($I288="","",IF(INDEX(Accounts!$R$12:$R$311,MATCH($I288,Accounts!$T$12:$T$311,0))="Check inputs","—",INDEX(Accounts!$O$12:$O$311,MATCH($I288,Accounts!$T$12:$T$311,0))))</f>
        <v/>
      </c>
      <c r="F288" s="30" t="str">
        <f aca="false">IF($I288="","",IF(INDEX(Accounts!$R$12:$R$311,MATCH($I288,Accounts!$T$12:$T$311,0))="Check inputs","—",INDEX(Accounts!$P$12:$P$311,MATCH($I288,Accounts!$T$12:$T$311,0))))</f>
        <v/>
      </c>
      <c r="G288" s="30" t="str">
        <f aca="false">IF($I288="","",IF(INDEX(Accounts!$R$12:$R$311,MATCH($I288,Accounts!$T$12:$T$311,0))="Check inputs","—",INDEX(Accounts!$Q$12:$Q$311,MATCH($I288,Accounts!$T$12:$T$311,0))))</f>
        <v/>
      </c>
      <c r="H288" s="32" t="str">
        <f aca="false">IF($I288="","",IF(INDEX(Accounts!$R$12:$R$311,MATCH($I288,Accounts!$T$12:$T$311,0))="Check inputs","Check inputs: "&amp;INDEX(Accounts!$S$12:$S$311,MATCH($I288,Accounts!$T$12:$T$311,0)),INDEX(Accounts!$R$12:$R$311,MATCH($I288,Accounts!$T$12:$T$311,0))))</f>
        <v/>
      </c>
      <c r="I288" s="33" t="str">
        <f aca="false">IF(280&gt;COUNT(Accounts!$T$12:$T$311),"",SMALL(Accounts!$T$12:$T$311,280))</f>
        <v/>
      </c>
    </row>
    <row r="289" customFormat="false" ht="15" hidden="false" customHeight="false" outlineLevel="0" collapsed="false">
      <c r="A289" s="22" t="str">
        <f aca="false">IF($I289="","",INDEX(Accounts!$A$12:$A$311,MATCH($I289,Accounts!$T$12:$T$311,0))&amp;"")</f>
        <v/>
      </c>
      <c r="B289" s="30" t="str">
        <f aca="false">IF($I289="","",IF(INDEX(Accounts!$R$12:$R$311,MATCH($I289,Accounts!$T$12:$T$311,0))="Check inputs","—",INDEX(Accounts!$B$12:$B$311,MATCH($I289,Accounts!$T$12:$T$311,0))))</f>
        <v/>
      </c>
      <c r="C289" s="30" t="str">
        <f aca="false">IF($I289="","",IF(INDEX(Accounts!$R$12:$R$311,MATCH($I289,Accounts!$T$12:$T$311,0))="Check inputs","—",INDEX(Accounts!$M$12:$M$311,MATCH($I289,Accounts!$T$12:$T$311,0))))</f>
        <v/>
      </c>
      <c r="D289" s="30" t="str">
        <f aca="false">IF($I289="","",IF(INDEX(Accounts!$R$12:$R$311,MATCH($I289,Accounts!$T$12:$T$311,0))="Check inputs","—",INDEX(Accounts!$N$12:$N$311,MATCH($I289,Accounts!$T$12:$T$311,0))))</f>
        <v/>
      </c>
      <c r="E289" s="31" t="str">
        <f aca="false">IF($I289="","",IF(INDEX(Accounts!$R$12:$R$311,MATCH($I289,Accounts!$T$12:$T$311,0))="Check inputs","—",INDEX(Accounts!$O$12:$O$311,MATCH($I289,Accounts!$T$12:$T$311,0))))</f>
        <v/>
      </c>
      <c r="F289" s="30" t="str">
        <f aca="false">IF($I289="","",IF(INDEX(Accounts!$R$12:$R$311,MATCH($I289,Accounts!$T$12:$T$311,0))="Check inputs","—",INDEX(Accounts!$P$12:$P$311,MATCH($I289,Accounts!$T$12:$T$311,0))))</f>
        <v/>
      </c>
      <c r="G289" s="30" t="str">
        <f aca="false">IF($I289="","",IF(INDEX(Accounts!$R$12:$R$311,MATCH($I289,Accounts!$T$12:$T$311,0))="Check inputs","—",INDEX(Accounts!$Q$12:$Q$311,MATCH($I289,Accounts!$T$12:$T$311,0))))</f>
        <v/>
      </c>
      <c r="H289" s="32" t="str">
        <f aca="false">IF($I289="","",IF(INDEX(Accounts!$R$12:$R$311,MATCH($I289,Accounts!$T$12:$T$311,0))="Check inputs","Check inputs: "&amp;INDEX(Accounts!$S$12:$S$311,MATCH($I289,Accounts!$T$12:$T$311,0)),INDEX(Accounts!$R$12:$R$311,MATCH($I289,Accounts!$T$12:$T$311,0))))</f>
        <v/>
      </c>
      <c r="I289" s="33" t="str">
        <f aca="false">IF(281&gt;COUNT(Accounts!$T$12:$T$311),"",SMALL(Accounts!$T$12:$T$311,281))</f>
        <v/>
      </c>
    </row>
    <row r="290" customFormat="false" ht="15" hidden="false" customHeight="false" outlineLevel="0" collapsed="false">
      <c r="A290" s="22" t="str">
        <f aca="false">IF($I290="","",INDEX(Accounts!$A$12:$A$311,MATCH($I290,Accounts!$T$12:$T$311,0))&amp;"")</f>
        <v/>
      </c>
      <c r="B290" s="30" t="str">
        <f aca="false">IF($I290="","",IF(INDEX(Accounts!$R$12:$R$311,MATCH($I290,Accounts!$T$12:$T$311,0))="Check inputs","—",INDEX(Accounts!$B$12:$B$311,MATCH($I290,Accounts!$T$12:$T$311,0))))</f>
        <v/>
      </c>
      <c r="C290" s="30" t="str">
        <f aca="false">IF($I290="","",IF(INDEX(Accounts!$R$12:$R$311,MATCH($I290,Accounts!$T$12:$T$311,0))="Check inputs","—",INDEX(Accounts!$M$12:$M$311,MATCH($I290,Accounts!$T$12:$T$311,0))))</f>
        <v/>
      </c>
      <c r="D290" s="30" t="str">
        <f aca="false">IF($I290="","",IF(INDEX(Accounts!$R$12:$R$311,MATCH($I290,Accounts!$T$12:$T$311,0))="Check inputs","—",INDEX(Accounts!$N$12:$N$311,MATCH($I290,Accounts!$T$12:$T$311,0))))</f>
        <v/>
      </c>
      <c r="E290" s="31" t="str">
        <f aca="false">IF($I290="","",IF(INDEX(Accounts!$R$12:$R$311,MATCH($I290,Accounts!$T$12:$T$311,0))="Check inputs","—",INDEX(Accounts!$O$12:$O$311,MATCH($I290,Accounts!$T$12:$T$311,0))))</f>
        <v/>
      </c>
      <c r="F290" s="30" t="str">
        <f aca="false">IF($I290="","",IF(INDEX(Accounts!$R$12:$R$311,MATCH($I290,Accounts!$T$12:$T$311,0))="Check inputs","—",INDEX(Accounts!$P$12:$P$311,MATCH($I290,Accounts!$T$12:$T$311,0))))</f>
        <v/>
      </c>
      <c r="G290" s="30" t="str">
        <f aca="false">IF($I290="","",IF(INDEX(Accounts!$R$12:$R$311,MATCH($I290,Accounts!$T$12:$T$311,0))="Check inputs","—",INDEX(Accounts!$Q$12:$Q$311,MATCH($I290,Accounts!$T$12:$T$311,0))))</f>
        <v/>
      </c>
      <c r="H290" s="32" t="str">
        <f aca="false">IF($I290="","",IF(INDEX(Accounts!$R$12:$R$311,MATCH($I290,Accounts!$T$12:$T$311,0))="Check inputs","Check inputs: "&amp;INDEX(Accounts!$S$12:$S$311,MATCH($I290,Accounts!$T$12:$T$311,0)),INDEX(Accounts!$R$12:$R$311,MATCH($I290,Accounts!$T$12:$T$311,0))))</f>
        <v/>
      </c>
      <c r="I290" s="33" t="str">
        <f aca="false">IF(282&gt;COUNT(Accounts!$T$12:$T$311),"",SMALL(Accounts!$T$12:$T$311,282))</f>
        <v/>
      </c>
    </row>
    <row r="291" customFormat="false" ht="15" hidden="false" customHeight="false" outlineLevel="0" collapsed="false">
      <c r="A291" s="22" t="str">
        <f aca="false">IF($I291="","",INDEX(Accounts!$A$12:$A$311,MATCH($I291,Accounts!$T$12:$T$311,0))&amp;"")</f>
        <v/>
      </c>
      <c r="B291" s="30" t="str">
        <f aca="false">IF($I291="","",IF(INDEX(Accounts!$R$12:$R$311,MATCH($I291,Accounts!$T$12:$T$311,0))="Check inputs","—",INDEX(Accounts!$B$12:$B$311,MATCH($I291,Accounts!$T$12:$T$311,0))))</f>
        <v/>
      </c>
      <c r="C291" s="30" t="str">
        <f aca="false">IF($I291="","",IF(INDEX(Accounts!$R$12:$R$311,MATCH($I291,Accounts!$T$12:$T$311,0))="Check inputs","—",INDEX(Accounts!$M$12:$M$311,MATCH($I291,Accounts!$T$12:$T$311,0))))</f>
        <v/>
      </c>
      <c r="D291" s="30" t="str">
        <f aca="false">IF($I291="","",IF(INDEX(Accounts!$R$12:$R$311,MATCH($I291,Accounts!$T$12:$T$311,0))="Check inputs","—",INDEX(Accounts!$N$12:$N$311,MATCH($I291,Accounts!$T$12:$T$311,0))))</f>
        <v/>
      </c>
      <c r="E291" s="31" t="str">
        <f aca="false">IF($I291="","",IF(INDEX(Accounts!$R$12:$R$311,MATCH($I291,Accounts!$T$12:$T$311,0))="Check inputs","—",INDEX(Accounts!$O$12:$O$311,MATCH($I291,Accounts!$T$12:$T$311,0))))</f>
        <v/>
      </c>
      <c r="F291" s="30" t="str">
        <f aca="false">IF($I291="","",IF(INDEX(Accounts!$R$12:$R$311,MATCH($I291,Accounts!$T$12:$T$311,0))="Check inputs","—",INDEX(Accounts!$P$12:$P$311,MATCH($I291,Accounts!$T$12:$T$311,0))))</f>
        <v/>
      </c>
      <c r="G291" s="30" t="str">
        <f aca="false">IF($I291="","",IF(INDEX(Accounts!$R$12:$R$311,MATCH($I291,Accounts!$T$12:$T$311,0))="Check inputs","—",INDEX(Accounts!$Q$12:$Q$311,MATCH($I291,Accounts!$T$12:$T$311,0))))</f>
        <v/>
      </c>
      <c r="H291" s="32" t="str">
        <f aca="false">IF($I291="","",IF(INDEX(Accounts!$R$12:$R$311,MATCH($I291,Accounts!$T$12:$T$311,0))="Check inputs","Check inputs: "&amp;INDEX(Accounts!$S$12:$S$311,MATCH($I291,Accounts!$T$12:$T$311,0)),INDEX(Accounts!$R$12:$R$311,MATCH($I291,Accounts!$T$12:$T$311,0))))</f>
        <v/>
      </c>
      <c r="I291" s="33" t="str">
        <f aca="false">IF(283&gt;COUNT(Accounts!$T$12:$T$311),"",SMALL(Accounts!$T$12:$T$311,283))</f>
        <v/>
      </c>
    </row>
    <row r="292" customFormat="false" ht="15" hidden="false" customHeight="false" outlineLevel="0" collapsed="false">
      <c r="A292" s="22" t="str">
        <f aca="false">IF($I292="","",INDEX(Accounts!$A$12:$A$311,MATCH($I292,Accounts!$T$12:$T$311,0))&amp;"")</f>
        <v/>
      </c>
      <c r="B292" s="30" t="str">
        <f aca="false">IF($I292="","",IF(INDEX(Accounts!$R$12:$R$311,MATCH($I292,Accounts!$T$12:$T$311,0))="Check inputs","—",INDEX(Accounts!$B$12:$B$311,MATCH($I292,Accounts!$T$12:$T$311,0))))</f>
        <v/>
      </c>
      <c r="C292" s="30" t="str">
        <f aca="false">IF($I292="","",IF(INDEX(Accounts!$R$12:$R$311,MATCH($I292,Accounts!$T$12:$T$311,0))="Check inputs","—",INDEX(Accounts!$M$12:$M$311,MATCH($I292,Accounts!$T$12:$T$311,0))))</f>
        <v/>
      </c>
      <c r="D292" s="30" t="str">
        <f aca="false">IF($I292="","",IF(INDEX(Accounts!$R$12:$R$311,MATCH($I292,Accounts!$T$12:$T$311,0))="Check inputs","—",INDEX(Accounts!$N$12:$N$311,MATCH($I292,Accounts!$T$12:$T$311,0))))</f>
        <v/>
      </c>
      <c r="E292" s="31" t="str">
        <f aca="false">IF($I292="","",IF(INDEX(Accounts!$R$12:$R$311,MATCH($I292,Accounts!$T$12:$T$311,0))="Check inputs","—",INDEX(Accounts!$O$12:$O$311,MATCH($I292,Accounts!$T$12:$T$311,0))))</f>
        <v/>
      </c>
      <c r="F292" s="30" t="str">
        <f aca="false">IF($I292="","",IF(INDEX(Accounts!$R$12:$R$311,MATCH($I292,Accounts!$T$12:$T$311,0))="Check inputs","—",INDEX(Accounts!$P$12:$P$311,MATCH($I292,Accounts!$T$12:$T$311,0))))</f>
        <v/>
      </c>
      <c r="G292" s="30" t="str">
        <f aca="false">IF($I292="","",IF(INDEX(Accounts!$R$12:$R$311,MATCH($I292,Accounts!$T$12:$T$311,0))="Check inputs","—",INDEX(Accounts!$Q$12:$Q$311,MATCH($I292,Accounts!$T$12:$T$311,0))))</f>
        <v/>
      </c>
      <c r="H292" s="32" t="str">
        <f aca="false">IF($I292="","",IF(INDEX(Accounts!$R$12:$R$311,MATCH($I292,Accounts!$T$12:$T$311,0))="Check inputs","Check inputs: "&amp;INDEX(Accounts!$S$12:$S$311,MATCH($I292,Accounts!$T$12:$T$311,0)),INDEX(Accounts!$R$12:$R$311,MATCH($I292,Accounts!$T$12:$T$311,0))))</f>
        <v/>
      </c>
      <c r="I292" s="33" t="str">
        <f aca="false">IF(284&gt;COUNT(Accounts!$T$12:$T$311),"",SMALL(Accounts!$T$12:$T$311,284))</f>
        <v/>
      </c>
    </row>
    <row r="293" customFormat="false" ht="15" hidden="false" customHeight="false" outlineLevel="0" collapsed="false">
      <c r="A293" s="22" t="str">
        <f aca="false">IF($I293="","",INDEX(Accounts!$A$12:$A$311,MATCH($I293,Accounts!$T$12:$T$311,0))&amp;"")</f>
        <v/>
      </c>
      <c r="B293" s="30" t="str">
        <f aca="false">IF($I293="","",IF(INDEX(Accounts!$R$12:$R$311,MATCH($I293,Accounts!$T$12:$T$311,0))="Check inputs","—",INDEX(Accounts!$B$12:$B$311,MATCH($I293,Accounts!$T$12:$T$311,0))))</f>
        <v/>
      </c>
      <c r="C293" s="30" t="str">
        <f aca="false">IF($I293="","",IF(INDEX(Accounts!$R$12:$R$311,MATCH($I293,Accounts!$T$12:$T$311,0))="Check inputs","—",INDEX(Accounts!$M$12:$M$311,MATCH($I293,Accounts!$T$12:$T$311,0))))</f>
        <v/>
      </c>
      <c r="D293" s="30" t="str">
        <f aca="false">IF($I293="","",IF(INDEX(Accounts!$R$12:$R$311,MATCH($I293,Accounts!$T$12:$T$311,0))="Check inputs","—",INDEX(Accounts!$N$12:$N$311,MATCH($I293,Accounts!$T$12:$T$311,0))))</f>
        <v/>
      </c>
      <c r="E293" s="31" t="str">
        <f aca="false">IF($I293="","",IF(INDEX(Accounts!$R$12:$R$311,MATCH($I293,Accounts!$T$12:$T$311,0))="Check inputs","—",INDEX(Accounts!$O$12:$O$311,MATCH($I293,Accounts!$T$12:$T$311,0))))</f>
        <v/>
      </c>
      <c r="F293" s="30" t="str">
        <f aca="false">IF($I293="","",IF(INDEX(Accounts!$R$12:$R$311,MATCH($I293,Accounts!$T$12:$T$311,0))="Check inputs","—",INDEX(Accounts!$P$12:$P$311,MATCH($I293,Accounts!$T$12:$T$311,0))))</f>
        <v/>
      </c>
      <c r="G293" s="30" t="str">
        <f aca="false">IF($I293="","",IF(INDEX(Accounts!$R$12:$R$311,MATCH($I293,Accounts!$T$12:$T$311,0))="Check inputs","—",INDEX(Accounts!$Q$12:$Q$311,MATCH($I293,Accounts!$T$12:$T$311,0))))</f>
        <v/>
      </c>
      <c r="H293" s="32" t="str">
        <f aca="false">IF($I293="","",IF(INDEX(Accounts!$R$12:$R$311,MATCH($I293,Accounts!$T$12:$T$311,0))="Check inputs","Check inputs: "&amp;INDEX(Accounts!$S$12:$S$311,MATCH($I293,Accounts!$T$12:$T$311,0)),INDEX(Accounts!$R$12:$R$311,MATCH($I293,Accounts!$T$12:$T$311,0))))</f>
        <v/>
      </c>
      <c r="I293" s="33" t="str">
        <f aca="false">IF(285&gt;COUNT(Accounts!$T$12:$T$311),"",SMALL(Accounts!$T$12:$T$311,285))</f>
        <v/>
      </c>
    </row>
    <row r="294" customFormat="false" ht="15" hidden="false" customHeight="false" outlineLevel="0" collapsed="false">
      <c r="A294" s="22" t="str">
        <f aca="false">IF($I294="","",INDEX(Accounts!$A$12:$A$311,MATCH($I294,Accounts!$T$12:$T$311,0))&amp;"")</f>
        <v/>
      </c>
      <c r="B294" s="30" t="str">
        <f aca="false">IF($I294="","",IF(INDEX(Accounts!$R$12:$R$311,MATCH($I294,Accounts!$T$12:$T$311,0))="Check inputs","—",INDEX(Accounts!$B$12:$B$311,MATCH($I294,Accounts!$T$12:$T$311,0))))</f>
        <v/>
      </c>
      <c r="C294" s="30" t="str">
        <f aca="false">IF($I294="","",IF(INDEX(Accounts!$R$12:$R$311,MATCH($I294,Accounts!$T$12:$T$311,0))="Check inputs","—",INDEX(Accounts!$M$12:$M$311,MATCH($I294,Accounts!$T$12:$T$311,0))))</f>
        <v/>
      </c>
      <c r="D294" s="30" t="str">
        <f aca="false">IF($I294="","",IF(INDEX(Accounts!$R$12:$R$311,MATCH($I294,Accounts!$T$12:$T$311,0))="Check inputs","—",INDEX(Accounts!$N$12:$N$311,MATCH($I294,Accounts!$T$12:$T$311,0))))</f>
        <v/>
      </c>
      <c r="E294" s="31" t="str">
        <f aca="false">IF($I294="","",IF(INDEX(Accounts!$R$12:$R$311,MATCH($I294,Accounts!$T$12:$T$311,0))="Check inputs","—",INDEX(Accounts!$O$12:$O$311,MATCH($I294,Accounts!$T$12:$T$311,0))))</f>
        <v/>
      </c>
      <c r="F294" s="30" t="str">
        <f aca="false">IF($I294="","",IF(INDEX(Accounts!$R$12:$R$311,MATCH($I294,Accounts!$T$12:$T$311,0))="Check inputs","—",INDEX(Accounts!$P$12:$P$311,MATCH($I294,Accounts!$T$12:$T$311,0))))</f>
        <v/>
      </c>
      <c r="G294" s="30" t="str">
        <f aca="false">IF($I294="","",IF(INDEX(Accounts!$R$12:$R$311,MATCH($I294,Accounts!$T$12:$T$311,0))="Check inputs","—",INDEX(Accounts!$Q$12:$Q$311,MATCH($I294,Accounts!$T$12:$T$311,0))))</f>
        <v/>
      </c>
      <c r="H294" s="32" t="str">
        <f aca="false">IF($I294="","",IF(INDEX(Accounts!$R$12:$R$311,MATCH($I294,Accounts!$T$12:$T$311,0))="Check inputs","Check inputs: "&amp;INDEX(Accounts!$S$12:$S$311,MATCH($I294,Accounts!$T$12:$T$311,0)),INDEX(Accounts!$R$12:$R$311,MATCH($I294,Accounts!$T$12:$T$311,0))))</f>
        <v/>
      </c>
      <c r="I294" s="33" t="str">
        <f aca="false">IF(286&gt;COUNT(Accounts!$T$12:$T$311),"",SMALL(Accounts!$T$12:$T$311,286))</f>
        <v/>
      </c>
    </row>
    <row r="295" customFormat="false" ht="15" hidden="false" customHeight="false" outlineLevel="0" collapsed="false">
      <c r="A295" s="22" t="str">
        <f aca="false">IF($I295="","",INDEX(Accounts!$A$12:$A$311,MATCH($I295,Accounts!$T$12:$T$311,0))&amp;"")</f>
        <v/>
      </c>
      <c r="B295" s="30" t="str">
        <f aca="false">IF($I295="","",IF(INDEX(Accounts!$R$12:$R$311,MATCH($I295,Accounts!$T$12:$T$311,0))="Check inputs","—",INDEX(Accounts!$B$12:$B$311,MATCH($I295,Accounts!$T$12:$T$311,0))))</f>
        <v/>
      </c>
      <c r="C295" s="30" t="str">
        <f aca="false">IF($I295="","",IF(INDEX(Accounts!$R$12:$R$311,MATCH($I295,Accounts!$T$12:$T$311,0))="Check inputs","—",INDEX(Accounts!$M$12:$M$311,MATCH($I295,Accounts!$T$12:$T$311,0))))</f>
        <v/>
      </c>
      <c r="D295" s="30" t="str">
        <f aca="false">IF($I295="","",IF(INDEX(Accounts!$R$12:$R$311,MATCH($I295,Accounts!$T$12:$T$311,0))="Check inputs","—",INDEX(Accounts!$N$12:$N$311,MATCH($I295,Accounts!$T$12:$T$311,0))))</f>
        <v/>
      </c>
      <c r="E295" s="31" t="str">
        <f aca="false">IF($I295="","",IF(INDEX(Accounts!$R$12:$R$311,MATCH($I295,Accounts!$T$12:$T$311,0))="Check inputs","—",INDEX(Accounts!$O$12:$O$311,MATCH($I295,Accounts!$T$12:$T$311,0))))</f>
        <v/>
      </c>
      <c r="F295" s="30" t="str">
        <f aca="false">IF($I295="","",IF(INDEX(Accounts!$R$12:$R$311,MATCH($I295,Accounts!$T$12:$T$311,0))="Check inputs","—",INDEX(Accounts!$P$12:$P$311,MATCH($I295,Accounts!$T$12:$T$311,0))))</f>
        <v/>
      </c>
      <c r="G295" s="30" t="str">
        <f aca="false">IF($I295="","",IF(INDEX(Accounts!$R$12:$R$311,MATCH($I295,Accounts!$T$12:$T$311,0))="Check inputs","—",INDEX(Accounts!$Q$12:$Q$311,MATCH($I295,Accounts!$T$12:$T$311,0))))</f>
        <v/>
      </c>
      <c r="H295" s="32" t="str">
        <f aca="false">IF($I295="","",IF(INDEX(Accounts!$R$12:$R$311,MATCH($I295,Accounts!$T$12:$T$311,0))="Check inputs","Check inputs: "&amp;INDEX(Accounts!$S$12:$S$311,MATCH($I295,Accounts!$T$12:$T$311,0)),INDEX(Accounts!$R$12:$R$311,MATCH($I295,Accounts!$T$12:$T$311,0))))</f>
        <v/>
      </c>
      <c r="I295" s="33" t="str">
        <f aca="false">IF(287&gt;COUNT(Accounts!$T$12:$T$311),"",SMALL(Accounts!$T$12:$T$311,287))</f>
        <v/>
      </c>
    </row>
    <row r="296" customFormat="false" ht="15" hidden="false" customHeight="false" outlineLevel="0" collapsed="false">
      <c r="A296" s="22" t="str">
        <f aca="false">IF($I296="","",INDEX(Accounts!$A$12:$A$311,MATCH($I296,Accounts!$T$12:$T$311,0))&amp;"")</f>
        <v/>
      </c>
      <c r="B296" s="30" t="str">
        <f aca="false">IF($I296="","",IF(INDEX(Accounts!$R$12:$R$311,MATCH($I296,Accounts!$T$12:$T$311,0))="Check inputs","—",INDEX(Accounts!$B$12:$B$311,MATCH($I296,Accounts!$T$12:$T$311,0))))</f>
        <v/>
      </c>
      <c r="C296" s="30" t="str">
        <f aca="false">IF($I296="","",IF(INDEX(Accounts!$R$12:$R$311,MATCH($I296,Accounts!$T$12:$T$311,0))="Check inputs","—",INDEX(Accounts!$M$12:$M$311,MATCH($I296,Accounts!$T$12:$T$311,0))))</f>
        <v/>
      </c>
      <c r="D296" s="30" t="str">
        <f aca="false">IF($I296="","",IF(INDEX(Accounts!$R$12:$R$311,MATCH($I296,Accounts!$T$12:$T$311,0))="Check inputs","—",INDEX(Accounts!$N$12:$N$311,MATCH($I296,Accounts!$T$12:$T$311,0))))</f>
        <v/>
      </c>
      <c r="E296" s="31" t="str">
        <f aca="false">IF($I296="","",IF(INDEX(Accounts!$R$12:$R$311,MATCH($I296,Accounts!$T$12:$T$311,0))="Check inputs","—",INDEX(Accounts!$O$12:$O$311,MATCH($I296,Accounts!$T$12:$T$311,0))))</f>
        <v/>
      </c>
      <c r="F296" s="30" t="str">
        <f aca="false">IF($I296="","",IF(INDEX(Accounts!$R$12:$R$311,MATCH($I296,Accounts!$T$12:$T$311,0))="Check inputs","—",INDEX(Accounts!$P$12:$P$311,MATCH($I296,Accounts!$T$12:$T$311,0))))</f>
        <v/>
      </c>
      <c r="G296" s="30" t="str">
        <f aca="false">IF($I296="","",IF(INDEX(Accounts!$R$12:$R$311,MATCH($I296,Accounts!$T$12:$T$311,0))="Check inputs","—",INDEX(Accounts!$Q$12:$Q$311,MATCH($I296,Accounts!$T$12:$T$311,0))))</f>
        <v/>
      </c>
      <c r="H296" s="32" t="str">
        <f aca="false">IF($I296="","",IF(INDEX(Accounts!$R$12:$R$311,MATCH($I296,Accounts!$T$12:$T$311,0))="Check inputs","Check inputs: "&amp;INDEX(Accounts!$S$12:$S$311,MATCH($I296,Accounts!$T$12:$T$311,0)),INDEX(Accounts!$R$12:$R$311,MATCH($I296,Accounts!$T$12:$T$311,0))))</f>
        <v/>
      </c>
      <c r="I296" s="33" t="str">
        <f aca="false">IF(288&gt;COUNT(Accounts!$T$12:$T$311),"",SMALL(Accounts!$T$12:$T$311,288))</f>
        <v/>
      </c>
    </row>
    <row r="297" customFormat="false" ht="15" hidden="false" customHeight="false" outlineLevel="0" collapsed="false">
      <c r="A297" s="22" t="str">
        <f aca="false">IF($I297="","",INDEX(Accounts!$A$12:$A$311,MATCH($I297,Accounts!$T$12:$T$311,0))&amp;"")</f>
        <v/>
      </c>
      <c r="B297" s="30" t="str">
        <f aca="false">IF($I297="","",IF(INDEX(Accounts!$R$12:$R$311,MATCH($I297,Accounts!$T$12:$T$311,0))="Check inputs","—",INDEX(Accounts!$B$12:$B$311,MATCH($I297,Accounts!$T$12:$T$311,0))))</f>
        <v/>
      </c>
      <c r="C297" s="30" t="str">
        <f aca="false">IF($I297="","",IF(INDEX(Accounts!$R$12:$R$311,MATCH($I297,Accounts!$T$12:$T$311,0))="Check inputs","—",INDEX(Accounts!$M$12:$M$311,MATCH($I297,Accounts!$T$12:$T$311,0))))</f>
        <v/>
      </c>
      <c r="D297" s="30" t="str">
        <f aca="false">IF($I297="","",IF(INDEX(Accounts!$R$12:$R$311,MATCH($I297,Accounts!$T$12:$T$311,0))="Check inputs","—",INDEX(Accounts!$N$12:$N$311,MATCH($I297,Accounts!$T$12:$T$311,0))))</f>
        <v/>
      </c>
      <c r="E297" s="31" t="str">
        <f aca="false">IF($I297="","",IF(INDEX(Accounts!$R$12:$R$311,MATCH($I297,Accounts!$T$12:$T$311,0))="Check inputs","—",INDEX(Accounts!$O$12:$O$311,MATCH($I297,Accounts!$T$12:$T$311,0))))</f>
        <v/>
      </c>
      <c r="F297" s="30" t="str">
        <f aca="false">IF($I297="","",IF(INDEX(Accounts!$R$12:$R$311,MATCH($I297,Accounts!$T$12:$T$311,0))="Check inputs","—",INDEX(Accounts!$P$12:$P$311,MATCH($I297,Accounts!$T$12:$T$311,0))))</f>
        <v/>
      </c>
      <c r="G297" s="30" t="str">
        <f aca="false">IF($I297="","",IF(INDEX(Accounts!$R$12:$R$311,MATCH($I297,Accounts!$T$12:$T$311,0))="Check inputs","—",INDEX(Accounts!$Q$12:$Q$311,MATCH($I297,Accounts!$T$12:$T$311,0))))</f>
        <v/>
      </c>
      <c r="H297" s="32" t="str">
        <f aca="false">IF($I297="","",IF(INDEX(Accounts!$R$12:$R$311,MATCH($I297,Accounts!$T$12:$T$311,0))="Check inputs","Check inputs: "&amp;INDEX(Accounts!$S$12:$S$311,MATCH($I297,Accounts!$T$12:$T$311,0)),INDEX(Accounts!$R$12:$R$311,MATCH($I297,Accounts!$T$12:$T$311,0))))</f>
        <v/>
      </c>
      <c r="I297" s="33" t="str">
        <f aca="false">IF(289&gt;COUNT(Accounts!$T$12:$T$311),"",SMALL(Accounts!$T$12:$T$311,289))</f>
        <v/>
      </c>
    </row>
    <row r="298" customFormat="false" ht="15" hidden="false" customHeight="false" outlineLevel="0" collapsed="false">
      <c r="A298" s="22" t="str">
        <f aca="false">IF($I298="","",INDEX(Accounts!$A$12:$A$311,MATCH($I298,Accounts!$T$12:$T$311,0))&amp;"")</f>
        <v/>
      </c>
      <c r="B298" s="30" t="str">
        <f aca="false">IF($I298="","",IF(INDEX(Accounts!$R$12:$R$311,MATCH($I298,Accounts!$T$12:$T$311,0))="Check inputs","—",INDEX(Accounts!$B$12:$B$311,MATCH($I298,Accounts!$T$12:$T$311,0))))</f>
        <v/>
      </c>
      <c r="C298" s="30" t="str">
        <f aca="false">IF($I298="","",IF(INDEX(Accounts!$R$12:$R$311,MATCH($I298,Accounts!$T$12:$T$311,0))="Check inputs","—",INDEX(Accounts!$M$12:$M$311,MATCH($I298,Accounts!$T$12:$T$311,0))))</f>
        <v/>
      </c>
      <c r="D298" s="30" t="str">
        <f aca="false">IF($I298="","",IF(INDEX(Accounts!$R$12:$R$311,MATCH($I298,Accounts!$T$12:$T$311,0))="Check inputs","—",INDEX(Accounts!$N$12:$N$311,MATCH($I298,Accounts!$T$12:$T$311,0))))</f>
        <v/>
      </c>
      <c r="E298" s="31" t="str">
        <f aca="false">IF($I298="","",IF(INDEX(Accounts!$R$12:$R$311,MATCH($I298,Accounts!$T$12:$T$311,0))="Check inputs","—",INDEX(Accounts!$O$12:$O$311,MATCH($I298,Accounts!$T$12:$T$311,0))))</f>
        <v/>
      </c>
      <c r="F298" s="30" t="str">
        <f aca="false">IF($I298="","",IF(INDEX(Accounts!$R$12:$R$311,MATCH($I298,Accounts!$T$12:$T$311,0))="Check inputs","—",INDEX(Accounts!$P$12:$P$311,MATCH($I298,Accounts!$T$12:$T$311,0))))</f>
        <v/>
      </c>
      <c r="G298" s="30" t="str">
        <f aca="false">IF($I298="","",IF(INDEX(Accounts!$R$12:$R$311,MATCH($I298,Accounts!$T$12:$T$311,0))="Check inputs","—",INDEX(Accounts!$Q$12:$Q$311,MATCH($I298,Accounts!$T$12:$T$311,0))))</f>
        <v/>
      </c>
      <c r="H298" s="32" t="str">
        <f aca="false">IF($I298="","",IF(INDEX(Accounts!$R$12:$R$311,MATCH($I298,Accounts!$T$12:$T$311,0))="Check inputs","Check inputs: "&amp;INDEX(Accounts!$S$12:$S$311,MATCH($I298,Accounts!$T$12:$T$311,0)),INDEX(Accounts!$R$12:$R$311,MATCH($I298,Accounts!$T$12:$T$311,0))))</f>
        <v/>
      </c>
      <c r="I298" s="33" t="str">
        <f aca="false">IF(290&gt;COUNT(Accounts!$T$12:$T$311),"",SMALL(Accounts!$T$12:$T$311,290))</f>
        <v/>
      </c>
    </row>
    <row r="299" customFormat="false" ht="15" hidden="false" customHeight="false" outlineLevel="0" collapsed="false">
      <c r="A299" s="22" t="str">
        <f aca="false">IF($I299="","",INDEX(Accounts!$A$12:$A$311,MATCH($I299,Accounts!$T$12:$T$311,0))&amp;"")</f>
        <v/>
      </c>
      <c r="B299" s="30" t="str">
        <f aca="false">IF($I299="","",IF(INDEX(Accounts!$R$12:$R$311,MATCH($I299,Accounts!$T$12:$T$311,0))="Check inputs","—",INDEX(Accounts!$B$12:$B$311,MATCH($I299,Accounts!$T$12:$T$311,0))))</f>
        <v/>
      </c>
      <c r="C299" s="30" t="str">
        <f aca="false">IF($I299="","",IF(INDEX(Accounts!$R$12:$R$311,MATCH($I299,Accounts!$T$12:$T$311,0))="Check inputs","—",INDEX(Accounts!$M$12:$M$311,MATCH($I299,Accounts!$T$12:$T$311,0))))</f>
        <v/>
      </c>
      <c r="D299" s="30" t="str">
        <f aca="false">IF($I299="","",IF(INDEX(Accounts!$R$12:$R$311,MATCH($I299,Accounts!$T$12:$T$311,0))="Check inputs","—",INDEX(Accounts!$N$12:$N$311,MATCH($I299,Accounts!$T$12:$T$311,0))))</f>
        <v/>
      </c>
      <c r="E299" s="31" t="str">
        <f aca="false">IF($I299="","",IF(INDEX(Accounts!$R$12:$R$311,MATCH($I299,Accounts!$T$12:$T$311,0))="Check inputs","—",INDEX(Accounts!$O$12:$O$311,MATCH($I299,Accounts!$T$12:$T$311,0))))</f>
        <v/>
      </c>
      <c r="F299" s="30" t="str">
        <f aca="false">IF($I299="","",IF(INDEX(Accounts!$R$12:$R$311,MATCH($I299,Accounts!$T$12:$T$311,0))="Check inputs","—",INDEX(Accounts!$P$12:$P$311,MATCH($I299,Accounts!$T$12:$T$311,0))))</f>
        <v/>
      </c>
      <c r="G299" s="30" t="str">
        <f aca="false">IF($I299="","",IF(INDEX(Accounts!$R$12:$R$311,MATCH($I299,Accounts!$T$12:$T$311,0))="Check inputs","—",INDEX(Accounts!$Q$12:$Q$311,MATCH($I299,Accounts!$T$12:$T$311,0))))</f>
        <v/>
      </c>
      <c r="H299" s="32" t="str">
        <f aca="false">IF($I299="","",IF(INDEX(Accounts!$R$12:$R$311,MATCH($I299,Accounts!$T$12:$T$311,0))="Check inputs","Check inputs: "&amp;INDEX(Accounts!$S$12:$S$311,MATCH($I299,Accounts!$T$12:$T$311,0)),INDEX(Accounts!$R$12:$R$311,MATCH($I299,Accounts!$T$12:$T$311,0))))</f>
        <v/>
      </c>
      <c r="I299" s="33" t="str">
        <f aca="false">IF(291&gt;COUNT(Accounts!$T$12:$T$311),"",SMALL(Accounts!$T$12:$T$311,291))</f>
        <v/>
      </c>
    </row>
    <row r="300" customFormat="false" ht="15" hidden="false" customHeight="false" outlineLevel="0" collapsed="false">
      <c r="A300" s="22" t="str">
        <f aca="false">IF($I300="","",INDEX(Accounts!$A$12:$A$311,MATCH($I300,Accounts!$T$12:$T$311,0))&amp;"")</f>
        <v/>
      </c>
      <c r="B300" s="30" t="str">
        <f aca="false">IF($I300="","",IF(INDEX(Accounts!$R$12:$R$311,MATCH($I300,Accounts!$T$12:$T$311,0))="Check inputs","—",INDEX(Accounts!$B$12:$B$311,MATCH($I300,Accounts!$T$12:$T$311,0))))</f>
        <v/>
      </c>
      <c r="C300" s="30" t="str">
        <f aca="false">IF($I300="","",IF(INDEX(Accounts!$R$12:$R$311,MATCH($I300,Accounts!$T$12:$T$311,0))="Check inputs","—",INDEX(Accounts!$M$12:$M$311,MATCH($I300,Accounts!$T$12:$T$311,0))))</f>
        <v/>
      </c>
      <c r="D300" s="30" t="str">
        <f aca="false">IF($I300="","",IF(INDEX(Accounts!$R$12:$R$311,MATCH($I300,Accounts!$T$12:$T$311,0))="Check inputs","—",INDEX(Accounts!$N$12:$N$311,MATCH($I300,Accounts!$T$12:$T$311,0))))</f>
        <v/>
      </c>
      <c r="E300" s="31" t="str">
        <f aca="false">IF($I300="","",IF(INDEX(Accounts!$R$12:$R$311,MATCH($I300,Accounts!$T$12:$T$311,0))="Check inputs","—",INDEX(Accounts!$O$12:$O$311,MATCH($I300,Accounts!$T$12:$T$311,0))))</f>
        <v/>
      </c>
      <c r="F300" s="30" t="str">
        <f aca="false">IF($I300="","",IF(INDEX(Accounts!$R$12:$R$311,MATCH($I300,Accounts!$T$12:$T$311,0))="Check inputs","—",INDEX(Accounts!$P$12:$P$311,MATCH($I300,Accounts!$T$12:$T$311,0))))</f>
        <v/>
      </c>
      <c r="G300" s="30" t="str">
        <f aca="false">IF($I300="","",IF(INDEX(Accounts!$R$12:$R$311,MATCH($I300,Accounts!$T$12:$T$311,0))="Check inputs","—",INDEX(Accounts!$Q$12:$Q$311,MATCH($I300,Accounts!$T$12:$T$311,0))))</f>
        <v/>
      </c>
      <c r="H300" s="32" t="str">
        <f aca="false">IF($I300="","",IF(INDEX(Accounts!$R$12:$R$311,MATCH($I300,Accounts!$T$12:$T$311,0))="Check inputs","Check inputs: "&amp;INDEX(Accounts!$S$12:$S$311,MATCH($I300,Accounts!$T$12:$T$311,0)),INDEX(Accounts!$R$12:$R$311,MATCH($I300,Accounts!$T$12:$T$311,0))))</f>
        <v/>
      </c>
      <c r="I300" s="33" t="str">
        <f aca="false">IF(292&gt;COUNT(Accounts!$T$12:$T$311),"",SMALL(Accounts!$T$12:$T$311,292))</f>
        <v/>
      </c>
    </row>
    <row r="301" customFormat="false" ht="15" hidden="false" customHeight="false" outlineLevel="0" collapsed="false">
      <c r="A301" s="22" t="str">
        <f aca="false">IF($I301="","",INDEX(Accounts!$A$12:$A$311,MATCH($I301,Accounts!$T$12:$T$311,0))&amp;"")</f>
        <v/>
      </c>
      <c r="B301" s="30" t="str">
        <f aca="false">IF($I301="","",IF(INDEX(Accounts!$R$12:$R$311,MATCH($I301,Accounts!$T$12:$T$311,0))="Check inputs","—",INDEX(Accounts!$B$12:$B$311,MATCH($I301,Accounts!$T$12:$T$311,0))))</f>
        <v/>
      </c>
      <c r="C301" s="30" t="str">
        <f aca="false">IF($I301="","",IF(INDEX(Accounts!$R$12:$R$311,MATCH($I301,Accounts!$T$12:$T$311,0))="Check inputs","—",INDEX(Accounts!$M$12:$M$311,MATCH($I301,Accounts!$T$12:$T$311,0))))</f>
        <v/>
      </c>
      <c r="D301" s="30" t="str">
        <f aca="false">IF($I301="","",IF(INDEX(Accounts!$R$12:$R$311,MATCH($I301,Accounts!$T$12:$T$311,0))="Check inputs","—",INDEX(Accounts!$N$12:$N$311,MATCH($I301,Accounts!$T$12:$T$311,0))))</f>
        <v/>
      </c>
      <c r="E301" s="31" t="str">
        <f aca="false">IF($I301="","",IF(INDEX(Accounts!$R$12:$R$311,MATCH($I301,Accounts!$T$12:$T$311,0))="Check inputs","—",INDEX(Accounts!$O$12:$O$311,MATCH($I301,Accounts!$T$12:$T$311,0))))</f>
        <v/>
      </c>
      <c r="F301" s="30" t="str">
        <f aca="false">IF($I301="","",IF(INDEX(Accounts!$R$12:$R$311,MATCH($I301,Accounts!$T$12:$T$311,0))="Check inputs","—",INDEX(Accounts!$P$12:$P$311,MATCH($I301,Accounts!$T$12:$T$311,0))))</f>
        <v/>
      </c>
      <c r="G301" s="30" t="str">
        <f aca="false">IF($I301="","",IF(INDEX(Accounts!$R$12:$R$311,MATCH($I301,Accounts!$T$12:$T$311,0))="Check inputs","—",INDEX(Accounts!$Q$12:$Q$311,MATCH($I301,Accounts!$T$12:$T$311,0))))</f>
        <v/>
      </c>
      <c r="H301" s="32" t="str">
        <f aca="false">IF($I301="","",IF(INDEX(Accounts!$R$12:$R$311,MATCH($I301,Accounts!$T$12:$T$311,0))="Check inputs","Check inputs: "&amp;INDEX(Accounts!$S$12:$S$311,MATCH($I301,Accounts!$T$12:$T$311,0)),INDEX(Accounts!$R$12:$R$311,MATCH($I301,Accounts!$T$12:$T$311,0))))</f>
        <v/>
      </c>
      <c r="I301" s="33" t="str">
        <f aca="false">IF(293&gt;COUNT(Accounts!$T$12:$T$311),"",SMALL(Accounts!$T$12:$T$311,293))</f>
        <v/>
      </c>
    </row>
    <row r="302" customFormat="false" ht="15" hidden="false" customHeight="false" outlineLevel="0" collapsed="false">
      <c r="A302" s="22" t="str">
        <f aca="false">IF($I302="","",INDEX(Accounts!$A$12:$A$311,MATCH($I302,Accounts!$T$12:$T$311,0))&amp;"")</f>
        <v/>
      </c>
      <c r="B302" s="30" t="str">
        <f aca="false">IF($I302="","",IF(INDEX(Accounts!$R$12:$R$311,MATCH($I302,Accounts!$T$12:$T$311,0))="Check inputs","—",INDEX(Accounts!$B$12:$B$311,MATCH($I302,Accounts!$T$12:$T$311,0))))</f>
        <v/>
      </c>
      <c r="C302" s="30" t="str">
        <f aca="false">IF($I302="","",IF(INDEX(Accounts!$R$12:$R$311,MATCH($I302,Accounts!$T$12:$T$311,0))="Check inputs","—",INDEX(Accounts!$M$12:$M$311,MATCH($I302,Accounts!$T$12:$T$311,0))))</f>
        <v/>
      </c>
      <c r="D302" s="30" t="str">
        <f aca="false">IF($I302="","",IF(INDEX(Accounts!$R$12:$R$311,MATCH($I302,Accounts!$T$12:$T$311,0))="Check inputs","—",INDEX(Accounts!$N$12:$N$311,MATCH($I302,Accounts!$T$12:$T$311,0))))</f>
        <v/>
      </c>
      <c r="E302" s="31" t="str">
        <f aca="false">IF($I302="","",IF(INDEX(Accounts!$R$12:$R$311,MATCH($I302,Accounts!$T$12:$T$311,0))="Check inputs","—",INDEX(Accounts!$O$12:$O$311,MATCH($I302,Accounts!$T$12:$T$311,0))))</f>
        <v/>
      </c>
      <c r="F302" s="30" t="str">
        <f aca="false">IF($I302="","",IF(INDEX(Accounts!$R$12:$R$311,MATCH($I302,Accounts!$T$12:$T$311,0))="Check inputs","—",INDEX(Accounts!$P$12:$P$311,MATCH($I302,Accounts!$T$12:$T$311,0))))</f>
        <v/>
      </c>
      <c r="G302" s="30" t="str">
        <f aca="false">IF($I302="","",IF(INDEX(Accounts!$R$12:$R$311,MATCH($I302,Accounts!$T$12:$T$311,0))="Check inputs","—",INDEX(Accounts!$Q$12:$Q$311,MATCH($I302,Accounts!$T$12:$T$311,0))))</f>
        <v/>
      </c>
      <c r="H302" s="32" t="str">
        <f aca="false">IF($I302="","",IF(INDEX(Accounts!$R$12:$R$311,MATCH($I302,Accounts!$T$12:$T$311,0))="Check inputs","Check inputs: "&amp;INDEX(Accounts!$S$12:$S$311,MATCH($I302,Accounts!$T$12:$T$311,0)),INDEX(Accounts!$R$12:$R$311,MATCH($I302,Accounts!$T$12:$T$311,0))))</f>
        <v/>
      </c>
      <c r="I302" s="33" t="str">
        <f aca="false">IF(294&gt;COUNT(Accounts!$T$12:$T$311),"",SMALL(Accounts!$T$12:$T$311,294))</f>
        <v/>
      </c>
    </row>
    <row r="303" customFormat="false" ht="15" hidden="false" customHeight="false" outlineLevel="0" collapsed="false">
      <c r="A303" s="22" t="str">
        <f aca="false">IF($I303="","",INDEX(Accounts!$A$12:$A$311,MATCH($I303,Accounts!$T$12:$T$311,0))&amp;"")</f>
        <v/>
      </c>
      <c r="B303" s="30" t="str">
        <f aca="false">IF($I303="","",IF(INDEX(Accounts!$R$12:$R$311,MATCH($I303,Accounts!$T$12:$T$311,0))="Check inputs","—",INDEX(Accounts!$B$12:$B$311,MATCH($I303,Accounts!$T$12:$T$311,0))))</f>
        <v/>
      </c>
      <c r="C303" s="30" t="str">
        <f aca="false">IF($I303="","",IF(INDEX(Accounts!$R$12:$R$311,MATCH($I303,Accounts!$T$12:$T$311,0))="Check inputs","—",INDEX(Accounts!$M$12:$M$311,MATCH($I303,Accounts!$T$12:$T$311,0))))</f>
        <v/>
      </c>
      <c r="D303" s="30" t="str">
        <f aca="false">IF($I303="","",IF(INDEX(Accounts!$R$12:$R$311,MATCH($I303,Accounts!$T$12:$T$311,0))="Check inputs","—",INDEX(Accounts!$N$12:$N$311,MATCH($I303,Accounts!$T$12:$T$311,0))))</f>
        <v/>
      </c>
      <c r="E303" s="31" t="str">
        <f aca="false">IF($I303="","",IF(INDEX(Accounts!$R$12:$R$311,MATCH($I303,Accounts!$T$12:$T$311,0))="Check inputs","—",INDEX(Accounts!$O$12:$O$311,MATCH($I303,Accounts!$T$12:$T$311,0))))</f>
        <v/>
      </c>
      <c r="F303" s="30" t="str">
        <f aca="false">IF($I303="","",IF(INDEX(Accounts!$R$12:$R$311,MATCH($I303,Accounts!$T$12:$T$311,0))="Check inputs","—",INDEX(Accounts!$P$12:$P$311,MATCH($I303,Accounts!$T$12:$T$311,0))))</f>
        <v/>
      </c>
      <c r="G303" s="30" t="str">
        <f aca="false">IF($I303="","",IF(INDEX(Accounts!$R$12:$R$311,MATCH($I303,Accounts!$T$12:$T$311,0))="Check inputs","—",INDEX(Accounts!$Q$12:$Q$311,MATCH($I303,Accounts!$T$12:$T$311,0))))</f>
        <v/>
      </c>
      <c r="H303" s="32" t="str">
        <f aca="false">IF($I303="","",IF(INDEX(Accounts!$R$12:$R$311,MATCH($I303,Accounts!$T$12:$T$311,0))="Check inputs","Check inputs: "&amp;INDEX(Accounts!$S$12:$S$311,MATCH($I303,Accounts!$T$12:$T$311,0)),INDEX(Accounts!$R$12:$R$311,MATCH($I303,Accounts!$T$12:$T$311,0))))</f>
        <v/>
      </c>
      <c r="I303" s="33" t="str">
        <f aca="false">IF(295&gt;COUNT(Accounts!$T$12:$T$311),"",SMALL(Accounts!$T$12:$T$311,295))</f>
        <v/>
      </c>
    </row>
    <row r="304" customFormat="false" ht="15" hidden="false" customHeight="false" outlineLevel="0" collapsed="false">
      <c r="A304" s="22" t="str">
        <f aca="false">IF($I304="","",INDEX(Accounts!$A$12:$A$311,MATCH($I304,Accounts!$T$12:$T$311,0))&amp;"")</f>
        <v/>
      </c>
      <c r="B304" s="30" t="str">
        <f aca="false">IF($I304="","",IF(INDEX(Accounts!$R$12:$R$311,MATCH($I304,Accounts!$T$12:$T$311,0))="Check inputs","—",INDEX(Accounts!$B$12:$B$311,MATCH($I304,Accounts!$T$12:$T$311,0))))</f>
        <v/>
      </c>
      <c r="C304" s="30" t="str">
        <f aca="false">IF($I304="","",IF(INDEX(Accounts!$R$12:$R$311,MATCH($I304,Accounts!$T$12:$T$311,0))="Check inputs","—",INDEX(Accounts!$M$12:$M$311,MATCH($I304,Accounts!$T$12:$T$311,0))))</f>
        <v/>
      </c>
      <c r="D304" s="30" t="str">
        <f aca="false">IF($I304="","",IF(INDEX(Accounts!$R$12:$R$311,MATCH($I304,Accounts!$T$12:$T$311,0))="Check inputs","—",INDEX(Accounts!$N$12:$N$311,MATCH($I304,Accounts!$T$12:$T$311,0))))</f>
        <v/>
      </c>
      <c r="E304" s="31" t="str">
        <f aca="false">IF($I304="","",IF(INDEX(Accounts!$R$12:$R$311,MATCH($I304,Accounts!$T$12:$T$311,0))="Check inputs","—",INDEX(Accounts!$O$12:$O$311,MATCH($I304,Accounts!$T$12:$T$311,0))))</f>
        <v/>
      </c>
      <c r="F304" s="30" t="str">
        <f aca="false">IF($I304="","",IF(INDEX(Accounts!$R$12:$R$311,MATCH($I304,Accounts!$T$12:$T$311,0))="Check inputs","—",INDEX(Accounts!$P$12:$P$311,MATCH($I304,Accounts!$T$12:$T$311,0))))</f>
        <v/>
      </c>
      <c r="G304" s="30" t="str">
        <f aca="false">IF($I304="","",IF(INDEX(Accounts!$R$12:$R$311,MATCH($I304,Accounts!$T$12:$T$311,0))="Check inputs","—",INDEX(Accounts!$Q$12:$Q$311,MATCH($I304,Accounts!$T$12:$T$311,0))))</f>
        <v/>
      </c>
      <c r="H304" s="32" t="str">
        <f aca="false">IF($I304="","",IF(INDEX(Accounts!$R$12:$R$311,MATCH($I304,Accounts!$T$12:$T$311,0))="Check inputs","Check inputs: "&amp;INDEX(Accounts!$S$12:$S$311,MATCH($I304,Accounts!$T$12:$T$311,0)),INDEX(Accounts!$R$12:$R$311,MATCH($I304,Accounts!$T$12:$T$311,0))))</f>
        <v/>
      </c>
      <c r="I304" s="33" t="str">
        <f aca="false">IF(296&gt;COUNT(Accounts!$T$12:$T$311),"",SMALL(Accounts!$T$12:$T$311,296))</f>
        <v/>
      </c>
    </row>
    <row r="305" customFormat="false" ht="15" hidden="false" customHeight="false" outlineLevel="0" collapsed="false">
      <c r="A305" s="22" t="str">
        <f aca="false">IF($I305="","",INDEX(Accounts!$A$12:$A$311,MATCH($I305,Accounts!$T$12:$T$311,0))&amp;"")</f>
        <v/>
      </c>
      <c r="B305" s="30" t="str">
        <f aca="false">IF($I305="","",IF(INDEX(Accounts!$R$12:$R$311,MATCH($I305,Accounts!$T$12:$T$311,0))="Check inputs","—",INDEX(Accounts!$B$12:$B$311,MATCH($I305,Accounts!$T$12:$T$311,0))))</f>
        <v/>
      </c>
      <c r="C305" s="30" t="str">
        <f aca="false">IF($I305="","",IF(INDEX(Accounts!$R$12:$R$311,MATCH($I305,Accounts!$T$12:$T$311,0))="Check inputs","—",INDEX(Accounts!$M$12:$M$311,MATCH($I305,Accounts!$T$12:$T$311,0))))</f>
        <v/>
      </c>
      <c r="D305" s="30" t="str">
        <f aca="false">IF($I305="","",IF(INDEX(Accounts!$R$12:$R$311,MATCH($I305,Accounts!$T$12:$T$311,0))="Check inputs","—",INDEX(Accounts!$N$12:$N$311,MATCH($I305,Accounts!$T$12:$T$311,0))))</f>
        <v/>
      </c>
      <c r="E305" s="31" t="str">
        <f aca="false">IF($I305="","",IF(INDEX(Accounts!$R$12:$R$311,MATCH($I305,Accounts!$T$12:$T$311,0))="Check inputs","—",INDEX(Accounts!$O$12:$O$311,MATCH($I305,Accounts!$T$12:$T$311,0))))</f>
        <v/>
      </c>
      <c r="F305" s="30" t="str">
        <f aca="false">IF($I305="","",IF(INDEX(Accounts!$R$12:$R$311,MATCH($I305,Accounts!$T$12:$T$311,0))="Check inputs","—",INDEX(Accounts!$P$12:$P$311,MATCH($I305,Accounts!$T$12:$T$311,0))))</f>
        <v/>
      </c>
      <c r="G305" s="30" t="str">
        <f aca="false">IF($I305="","",IF(INDEX(Accounts!$R$12:$R$311,MATCH($I305,Accounts!$T$12:$T$311,0))="Check inputs","—",INDEX(Accounts!$Q$12:$Q$311,MATCH($I305,Accounts!$T$12:$T$311,0))))</f>
        <v/>
      </c>
      <c r="H305" s="32" t="str">
        <f aca="false">IF($I305="","",IF(INDEX(Accounts!$R$12:$R$311,MATCH($I305,Accounts!$T$12:$T$311,0))="Check inputs","Check inputs: "&amp;INDEX(Accounts!$S$12:$S$311,MATCH($I305,Accounts!$T$12:$T$311,0)),INDEX(Accounts!$R$12:$R$311,MATCH($I305,Accounts!$T$12:$T$311,0))))</f>
        <v/>
      </c>
      <c r="I305" s="33" t="str">
        <f aca="false">IF(297&gt;COUNT(Accounts!$T$12:$T$311),"",SMALL(Accounts!$T$12:$T$311,297))</f>
        <v/>
      </c>
    </row>
    <row r="306" customFormat="false" ht="15" hidden="false" customHeight="false" outlineLevel="0" collapsed="false">
      <c r="A306" s="22" t="str">
        <f aca="false">IF($I306="","",INDEX(Accounts!$A$12:$A$311,MATCH($I306,Accounts!$T$12:$T$311,0))&amp;"")</f>
        <v/>
      </c>
      <c r="B306" s="30" t="str">
        <f aca="false">IF($I306="","",IF(INDEX(Accounts!$R$12:$R$311,MATCH($I306,Accounts!$T$12:$T$311,0))="Check inputs","—",INDEX(Accounts!$B$12:$B$311,MATCH($I306,Accounts!$T$12:$T$311,0))))</f>
        <v/>
      </c>
      <c r="C306" s="30" t="str">
        <f aca="false">IF($I306="","",IF(INDEX(Accounts!$R$12:$R$311,MATCH($I306,Accounts!$T$12:$T$311,0))="Check inputs","—",INDEX(Accounts!$M$12:$M$311,MATCH($I306,Accounts!$T$12:$T$311,0))))</f>
        <v/>
      </c>
      <c r="D306" s="30" t="str">
        <f aca="false">IF($I306="","",IF(INDEX(Accounts!$R$12:$R$311,MATCH($I306,Accounts!$T$12:$T$311,0))="Check inputs","—",INDEX(Accounts!$N$12:$N$311,MATCH($I306,Accounts!$T$12:$T$311,0))))</f>
        <v/>
      </c>
      <c r="E306" s="31" t="str">
        <f aca="false">IF($I306="","",IF(INDEX(Accounts!$R$12:$R$311,MATCH($I306,Accounts!$T$12:$T$311,0))="Check inputs","—",INDEX(Accounts!$O$12:$O$311,MATCH($I306,Accounts!$T$12:$T$311,0))))</f>
        <v/>
      </c>
      <c r="F306" s="30" t="str">
        <f aca="false">IF($I306="","",IF(INDEX(Accounts!$R$12:$R$311,MATCH($I306,Accounts!$T$12:$T$311,0))="Check inputs","—",INDEX(Accounts!$P$12:$P$311,MATCH($I306,Accounts!$T$12:$T$311,0))))</f>
        <v/>
      </c>
      <c r="G306" s="30" t="str">
        <f aca="false">IF($I306="","",IF(INDEX(Accounts!$R$12:$R$311,MATCH($I306,Accounts!$T$12:$T$311,0))="Check inputs","—",INDEX(Accounts!$Q$12:$Q$311,MATCH($I306,Accounts!$T$12:$T$311,0))))</f>
        <v/>
      </c>
      <c r="H306" s="32" t="str">
        <f aca="false">IF($I306="","",IF(INDEX(Accounts!$R$12:$R$311,MATCH($I306,Accounts!$T$12:$T$311,0))="Check inputs","Check inputs: "&amp;INDEX(Accounts!$S$12:$S$311,MATCH($I306,Accounts!$T$12:$T$311,0)),INDEX(Accounts!$R$12:$R$311,MATCH($I306,Accounts!$T$12:$T$311,0))))</f>
        <v/>
      </c>
      <c r="I306" s="33" t="str">
        <f aca="false">IF(298&gt;COUNT(Accounts!$T$12:$T$311),"",SMALL(Accounts!$T$12:$T$311,298))</f>
        <v/>
      </c>
    </row>
    <row r="307" customFormat="false" ht="15" hidden="false" customHeight="false" outlineLevel="0" collapsed="false">
      <c r="A307" s="22" t="str">
        <f aca="false">IF($I307="","",INDEX(Accounts!$A$12:$A$311,MATCH($I307,Accounts!$T$12:$T$311,0))&amp;"")</f>
        <v/>
      </c>
      <c r="B307" s="30" t="str">
        <f aca="false">IF($I307="","",IF(INDEX(Accounts!$R$12:$R$311,MATCH($I307,Accounts!$T$12:$T$311,0))="Check inputs","—",INDEX(Accounts!$B$12:$B$311,MATCH($I307,Accounts!$T$12:$T$311,0))))</f>
        <v/>
      </c>
      <c r="C307" s="30" t="str">
        <f aca="false">IF($I307="","",IF(INDEX(Accounts!$R$12:$R$311,MATCH($I307,Accounts!$T$12:$T$311,0))="Check inputs","—",INDEX(Accounts!$M$12:$M$311,MATCH($I307,Accounts!$T$12:$T$311,0))))</f>
        <v/>
      </c>
      <c r="D307" s="30" t="str">
        <f aca="false">IF($I307="","",IF(INDEX(Accounts!$R$12:$R$311,MATCH($I307,Accounts!$T$12:$T$311,0))="Check inputs","—",INDEX(Accounts!$N$12:$N$311,MATCH($I307,Accounts!$T$12:$T$311,0))))</f>
        <v/>
      </c>
      <c r="E307" s="31" t="str">
        <f aca="false">IF($I307="","",IF(INDEX(Accounts!$R$12:$R$311,MATCH($I307,Accounts!$T$12:$T$311,0))="Check inputs","—",INDEX(Accounts!$O$12:$O$311,MATCH($I307,Accounts!$T$12:$T$311,0))))</f>
        <v/>
      </c>
      <c r="F307" s="30" t="str">
        <f aca="false">IF($I307="","",IF(INDEX(Accounts!$R$12:$R$311,MATCH($I307,Accounts!$T$12:$T$311,0))="Check inputs","—",INDEX(Accounts!$P$12:$P$311,MATCH($I307,Accounts!$T$12:$T$311,0))))</f>
        <v/>
      </c>
      <c r="G307" s="30" t="str">
        <f aca="false">IF($I307="","",IF(INDEX(Accounts!$R$12:$R$311,MATCH($I307,Accounts!$T$12:$T$311,0))="Check inputs","—",INDEX(Accounts!$Q$12:$Q$311,MATCH($I307,Accounts!$T$12:$T$311,0))))</f>
        <v/>
      </c>
      <c r="H307" s="32" t="str">
        <f aca="false">IF($I307="","",IF(INDEX(Accounts!$R$12:$R$311,MATCH($I307,Accounts!$T$12:$T$311,0))="Check inputs","Check inputs: "&amp;INDEX(Accounts!$S$12:$S$311,MATCH($I307,Accounts!$T$12:$T$311,0)),INDEX(Accounts!$R$12:$R$311,MATCH($I307,Accounts!$T$12:$T$311,0))))</f>
        <v/>
      </c>
      <c r="I307" s="33" t="str">
        <f aca="false">IF(299&gt;COUNT(Accounts!$T$12:$T$311),"",SMALL(Accounts!$T$12:$T$311,299))</f>
        <v/>
      </c>
    </row>
    <row r="308" customFormat="false" ht="15" hidden="false" customHeight="false" outlineLevel="0" collapsed="false">
      <c r="A308" s="22" t="str">
        <f aca="false">IF($I308="","",INDEX(Accounts!$A$12:$A$311,MATCH($I308,Accounts!$T$12:$T$311,0))&amp;"")</f>
        <v/>
      </c>
      <c r="B308" s="30" t="str">
        <f aca="false">IF($I308="","",IF(INDEX(Accounts!$R$12:$R$311,MATCH($I308,Accounts!$T$12:$T$311,0))="Check inputs","—",INDEX(Accounts!$B$12:$B$311,MATCH($I308,Accounts!$T$12:$T$311,0))))</f>
        <v/>
      </c>
      <c r="C308" s="30" t="str">
        <f aca="false">IF($I308="","",IF(INDEX(Accounts!$R$12:$R$311,MATCH($I308,Accounts!$T$12:$T$311,0))="Check inputs","—",INDEX(Accounts!$M$12:$M$311,MATCH($I308,Accounts!$T$12:$T$311,0))))</f>
        <v/>
      </c>
      <c r="D308" s="30" t="str">
        <f aca="false">IF($I308="","",IF(INDEX(Accounts!$R$12:$R$311,MATCH($I308,Accounts!$T$12:$T$311,0))="Check inputs","—",INDEX(Accounts!$N$12:$N$311,MATCH($I308,Accounts!$T$12:$T$311,0))))</f>
        <v/>
      </c>
      <c r="E308" s="31" t="str">
        <f aca="false">IF($I308="","",IF(INDEX(Accounts!$R$12:$R$311,MATCH($I308,Accounts!$T$12:$T$311,0))="Check inputs","—",INDEX(Accounts!$O$12:$O$311,MATCH($I308,Accounts!$T$12:$T$311,0))))</f>
        <v/>
      </c>
      <c r="F308" s="30" t="str">
        <f aca="false">IF($I308="","",IF(INDEX(Accounts!$R$12:$R$311,MATCH($I308,Accounts!$T$12:$T$311,0))="Check inputs","—",INDEX(Accounts!$P$12:$P$311,MATCH($I308,Accounts!$T$12:$T$311,0))))</f>
        <v/>
      </c>
      <c r="G308" s="30" t="str">
        <f aca="false">IF($I308="","",IF(INDEX(Accounts!$R$12:$R$311,MATCH($I308,Accounts!$T$12:$T$311,0))="Check inputs","—",INDEX(Accounts!$Q$12:$Q$311,MATCH($I308,Accounts!$T$12:$T$311,0))))</f>
        <v/>
      </c>
      <c r="H308" s="32" t="str">
        <f aca="false">IF($I308="","",IF(INDEX(Accounts!$R$12:$R$311,MATCH($I308,Accounts!$T$12:$T$311,0))="Check inputs","Check inputs: "&amp;INDEX(Accounts!$S$12:$S$311,MATCH($I308,Accounts!$T$12:$T$311,0)),INDEX(Accounts!$R$12:$R$311,MATCH($I308,Accounts!$T$12:$T$311,0))))</f>
        <v/>
      </c>
      <c r="I308" s="33" t="str">
        <f aca="false">IF(300&gt;COUNT(Accounts!$T$12:$T$311),"",SMALL(Accounts!$T$12:$T$311,300))</f>
        <v/>
      </c>
    </row>
  </sheetData>
  <sheetProtection sheet="true" formatCells="false" formatColumns="false" formatRows="false"/>
  <mergeCells count="4">
    <mergeCell ref="A2:H2"/>
    <mergeCell ref="A3:H3"/>
    <mergeCell ref="A4:H4"/>
    <mergeCell ref="C5:H5"/>
  </mergeCells>
  <dataValidations count="1">
    <dataValidation allowBlank="true" error="Choose Needs review, All accounts or Check inputs." errorStyle="stop" errorTitle="List" operator="between" showDropDown="false" showErrorMessage="true" showInputMessage="false" sqref="B5" type="list">
      <formula1>"Needs review,All accounts,Check inputs"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2026-10-22T11:47:01Z</dcterms:created>
  <dc:creator>openpyxl</dc:creator>
  <dc:description/>
  <dc:language>en-US</dc:language>
  <cp:lastModifiedBy/>
  <dcterms:modified xsi:type="dcterms:W3CDTF">2026-10-22T11:47:02Z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