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 sheetId="1" state="visible" r:id="rId3"/>
    <sheet name="Customers" sheetId="2" state="visible" r:id="rId4"/>
    <sheet name="Week" sheetId="3" state="visible" r:id="rId5"/>
  </sheets>
  <definedNames>
    <definedName function="false" hidden="false" localSheetId="1" name="_xlnm.Print_Titles" vbProcedure="false">Customers!$11:$11</definedName>
    <definedName function="false" hidden="false" localSheetId="0" name="_xlnm.Print_Area" vbProcedure="false">Plan!$A$1:$I$119</definedName>
    <definedName function="false" hidden="false" localSheetId="0" name="_xlnm.Print_Titles" vbProcedure="false">Plan!$35:$35</definedName>
    <definedName function="false" hidden="false" localSheetId="2" name="_xlnm.Print_Titles" vbProcedure="false">Week!$19:$19</definedName>
    <definedName function="false" hidden="false" name="WeekMon" vbProcedure="false">Week!$B$5</definedName>
    <definedName function="false" hidden="false" name="WinStart" vbProcedure="false">Plan!$B$11</definedName>
    <definedName function="false" hidden="false" localSheetId="1" name="_xlnm.Print_Area" vbProcedure="false">OFFSET(Customers!$A$1,0,0,MAX(11,SUMPRODUCT(MAX((LEN(Customers!$A$12:$A$311&amp;Customers!$B$12:$B$311&amp;Customers!$C$12:$C$311&amp;Customers!$D$12:$D$311&amp;Customers!$E$12:$E$311)&gt;0)*ROW(Customers!$A$12:$A$311)))),9)</definedName>
    <definedName function="false" hidden="false" localSheetId="2" name="_xlnm.Print_Area" vbProcedure="false">OFFSET(Week!$A$1,0,0,19+MAX(1,COUNT(Week!$I$20:$I$319)),8)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<sst xmlns="http://schemas.openxmlformats.org/spreadsheetml/2006/main" count="83" uniqueCount="54">
  <si>
    <t xml:space="preserve">Will my recurring cleaning schedule fit?</t>
  </si>
  <si>
    <t xml:space="preserve">One crew. Enter your available hours below and your recurring customers on the Customers sheet. Every day of a 12-week window (Monday to Sunday weeks) is checked against your hours. This is a capacity check, not timed appointments: it can't tell whether jobs overlap on the clock or whether travel between them works.</t>
  </si>
  <si>
    <t xml:space="preserve">Available cleaning hours each day: one crew's elapsed time after breaks, driving and other work (travel isn't calculated). Two people cleaning together for 2 hours use 2 hours.</t>
  </si>
  <si>
    <t xml:space="preserve">Day</t>
  </si>
  <si>
    <t xml:space="preserve">Monday</t>
  </si>
  <si>
    <t xml:space="preserve">Tuesday</t>
  </si>
  <si>
    <t xml:space="preserve">Wednesday</t>
  </si>
  <si>
    <t xml:space="preserve">Thursday</t>
  </si>
  <si>
    <t xml:space="preserve">Friday</t>
  </si>
  <si>
    <t xml:space="preserve">Saturday</t>
  </si>
  <si>
    <t xml:space="preserve">Sunday</t>
  </si>
  <si>
    <t xml:space="preserve">Hours</t>
  </si>
  <si>
    <t xml:space="preserve">Check</t>
  </si>
  <si>
    <t xml:space="preserve">Use decimals: 2.5 = 2 h 30 min; 7.75 = 7 h 45 min. Enter 0 for a day you don't clean. A blank day can't be checked, so the window is never called a fit while one is blank.</t>
  </si>
  <si>
    <t xml:space="preserve">Window</t>
  </si>
  <si>
    <t xml:space="preserve">← start with the week of this date (any day; blank = this week). Changing it never changes customers' dates.</t>
  </si>
  <si>
    <t xml:space="preserve">Result</t>
  </si>
  <si>
    <t xml:space="preserve">12-week overview</t>
  </si>
  <si>
    <t xml:space="preserve">Week</t>
  </si>
  <si>
    <t xml:space="preserve">Planned h</t>
  </si>
  <si>
    <t xml:space="preserve">Days over</t>
  </si>
  <si>
    <t xml:space="preserve">Hours over</t>
  </si>
  <si>
    <t xml:space="preserve">Days with visits that can't be checked</t>
  </si>
  <si>
    <t xml:space="preserve">Day by day</t>
  </si>
  <si>
    <t xml:space="preserve">Date</t>
  </si>
  <si>
    <t xml:space="preserve">Visits</t>
  </si>
  <si>
    <t xml:space="preserve">Available h</t>
  </si>
  <si>
    <t xml:space="preserve">Hours free</t>
  </si>
  <si>
    <t xml:space="preserve">Status</t>
  </si>
  <si>
    <t xml:space="preserve">Recurring customers</t>
  </si>
  <si>
    <t xml:space="preserve">One row per separately scheduled property (two sites for the same customer get two rows). Type only in the green cells. The first visit date sets the weekday; Repeat every is Weekly, Every 2 weeks, Every 3 weeks or Every 4 weeks (13 visits a year, not monthly). Visit length is the crew's cleaning hours per visit (2.5 = 2 h 30 min).</t>
  </si>
  <si>
    <t xml:space="preserve">Last visit is optional and included; blank keeps the pattern going. It stops future visits; it doesn't record work as done. Rows with anything missing or invalid show Check details and are left out of the planned hours (blank is never treated as zero). Dates must be real dates from 2000 to 2099 without a time. Room for 300 customers; anything typed below row 311 is flagged. Sort or filter whole rows freely; columns F onward are calculated.</t>
  </si>
  <si>
    <t xml:space="preserve">Customer / site</t>
  </si>
  <si>
    <t xml:space="preserve">First visit (date)</t>
  </si>
  <si>
    <t xml:space="preserve">Repeat every</t>
  </si>
  <si>
    <t xml:space="preserve">Visit length (hours)</t>
  </si>
  <si>
    <t xml:space="preserve">Last visit (optional, included)</t>
  </si>
  <si>
    <t xml:space="preserve">Weekday (calc)</t>
  </si>
  <si>
    <t xml:space="preserve">Visits in window (calc)</t>
  </si>
  <si>
    <t xml:space="preserve">Status (calc)</t>
  </si>
  <si>
    <t xml:space="preserve">Details to check (calc)</t>
  </si>
  <si>
    <t xml:space="preserve">Complete 1/0 (calc)</t>
  </si>
  <si>
    <t xml:space="preserve">First used (calc)</t>
  </si>
  <si>
    <t xml:space="preserve">Cycle days (calc)</t>
  </si>
  <si>
    <t xml:space="preserve">Last used (calc)</t>
  </si>
  <si>
    <t xml:space="preserve">Hours x100 (calc)</t>
  </si>
  <si>
    <t xml:space="preserve">Date in printed week (calc)</t>
  </si>
  <si>
    <t xml:space="preserve">Week list order (calc)</t>
  </si>
  <si>
    <t xml:space="preserve">Cleaning week</t>
  </si>
  <si>
    <t xml:space="preserve">Week of</t>
  </si>
  <si>
    <t xml:space="preserve">← any date in the week to print (blank = week 1 of the Plan window). This only picks the printout; it never changes customers' dates. Then File &gt; Print.</t>
  </si>
  <si>
    <t xml:space="preserve">Visit hours</t>
  </si>
  <si>
    <t xml:space="preserve">Repeats</t>
  </si>
  <si>
    <t xml:space="preserve">(order)</t>
  </si>
</sst>
</file>

<file path=xl/styles.xml><?xml version="1.0" encoding="utf-8"?>
<styleSheet xmlns="http://schemas.openxmlformats.org/spreadsheetml/2006/main">
  <numFmts count="7">
    <numFmt numFmtId="164" formatCode="General"/>
    <numFmt numFmtId="165" formatCode="0.00"/>
    <numFmt numFmtId="166" formatCode="ddd\ mmm\ d&quot;, &quot;yyyy"/>
    <numFmt numFmtId="167" formatCode="&quot;Week &quot;0"/>
    <numFmt numFmtId="168" formatCode="mmm\ d&quot;, &quot;yyyy"/>
    <numFmt numFmtId="169" formatCode="General"/>
    <numFmt numFmtId="170" formatCode="0"/>
  </numFmts>
  <fonts count="25">
    <font>
      <sz val="11"/>
      <color theme="1"/>
      <name val="Calibri"/>
      <family val="2"/>
      <charset val="1"/>
    </font>
    <font>
      <sz val="10"/>
      <name val="Arial"/>
      <family val="0"/>
    </font>
    <font>
      <sz val="10"/>
      <name val="Arial"/>
      <family val="0"/>
    </font>
    <font>
      <sz val="10"/>
      <name val="Arial"/>
      <family val="0"/>
    </font>
    <font>
      <b val="true"/>
      <sz val="18"/>
      <color rgb="FF193447"/>
      <name val="Arial"/>
      <family val="0"/>
      <charset val="1"/>
    </font>
    <font>
      <sz val="9.5"/>
      <color rgb="FF56656D"/>
      <name val="Arial"/>
      <family val="0"/>
      <charset val="1"/>
    </font>
    <font>
      <b val="true"/>
      <sz val="10"/>
      <color rgb="FF1E2A32"/>
      <name val="Arial"/>
      <family val="0"/>
      <charset val="1"/>
    </font>
    <font>
      <b val="true"/>
      <sz val="9.5"/>
      <color rgb="FFFFFFFF"/>
      <name val="Arial"/>
      <family val="0"/>
      <charset val="1"/>
    </font>
    <font>
      <b val="true"/>
      <sz val="11"/>
      <color rgb="FF1E2A32"/>
      <name val="Arial"/>
      <family val="0"/>
      <charset val="1"/>
    </font>
    <font>
      <b val="true"/>
      <sz val="9"/>
      <color rgb="FF3F5A44"/>
      <name val="Arial"/>
      <family val="0"/>
      <charset val="1"/>
    </font>
    <font>
      <sz val="9"/>
      <color rgb="FF56656D"/>
      <name val="Arial"/>
      <family val="0"/>
      <charset val="1"/>
    </font>
    <font>
      <b val="true"/>
      <sz val="10.5"/>
      <color rgb="FF1E2A32"/>
      <name val="Arial"/>
      <family val="0"/>
      <charset val="1"/>
    </font>
    <font>
      <b val="true"/>
      <sz val="9.5"/>
      <color rgb="FF3F5A44"/>
      <name val="Arial"/>
      <family val="0"/>
      <charset val="1"/>
    </font>
    <font>
      <b val="true"/>
      <sz val="11"/>
      <color rgb="FF3F5A44"/>
      <name val="Arial"/>
      <family val="0"/>
      <charset val="1"/>
    </font>
    <font>
      <b val="true"/>
      <sz val="9.5"/>
      <color rgb="FF84291D"/>
      <name val="Arial"/>
      <family val="0"/>
      <charset val="1"/>
    </font>
    <font>
      <b val="true"/>
      <sz val="12"/>
      <color rgb="FF193447"/>
      <name val="Arial"/>
      <family val="0"/>
      <charset val="1"/>
    </font>
    <font>
      <b val="true"/>
      <sz val="9"/>
      <color rgb="FFFFFFFF"/>
      <name val="Arial"/>
      <family val="0"/>
      <charset val="1"/>
    </font>
    <font>
      <sz val="9.5"/>
      <color rgb="FF1E2A32"/>
      <name val="Arial"/>
      <family val="0"/>
      <charset val="1"/>
    </font>
    <font>
      <b val="true"/>
      <sz val="9.5"/>
      <color rgb="FF1E2A32"/>
      <name val="Arial"/>
      <family val="0"/>
      <charset val="1"/>
    </font>
    <font>
      <b val="true"/>
      <sz val="16"/>
      <color rgb="FF193447"/>
      <name val="Arial"/>
      <family val="0"/>
      <charset val="1"/>
    </font>
    <font>
      <b val="true"/>
      <sz val="10"/>
      <color rgb="FF3F5A44"/>
      <name val="Arial"/>
      <family val="0"/>
      <charset val="1"/>
    </font>
    <font>
      <b val="true"/>
      <sz val="12"/>
      <color rgb="FF1E2A32"/>
      <name val="Arial"/>
      <family val="0"/>
      <charset val="1"/>
    </font>
    <font>
      <sz val="10"/>
      <color rgb="FF1E2A32"/>
      <name val="Arial"/>
      <family val="0"/>
      <charset val="1"/>
    </font>
    <font>
      <b val="true"/>
      <sz val="9"/>
      <color rgb="FF56656D"/>
      <name val="Arial"/>
      <family val="0"/>
      <charset val="1"/>
    </font>
    <font>
      <sz val="10"/>
      <color rgb="FF56656D"/>
      <name val="Arial"/>
      <family val="0"/>
      <charset val="1"/>
    </font>
  </fonts>
  <fills count="6">
    <fill>
      <patternFill patternType="none"/>
    </fill>
    <fill>
      <patternFill patternType="gray125"/>
    </fill>
    <fill>
      <patternFill patternType="solid">
        <fgColor rgb="FF193447"/>
        <bgColor rgb="FF1E2A32"/>
      </patternFill>
    </fill>
    <fill>
      <patternFill patternType="solid">
        <fgColor rgb="FFE2EAE1"/>
        <bgColor rgb="FFDCE7DD"/>
      </patternFill>
    </fill>
    <fill>
      <patternFill patternType="solid">
        <fgColor rgb="FF3F5A44"/>
        <bgColor rgb="FF2B5634"/>
      </patternFill>
    </fill>
    <fill>
      <patternFill patternType="solid">
        <fgColor rgb="FFFFFFFF"/>
        <bgColor rgb="FFF4F1EA"/>
      </patternFill>
    </fill>
  </fills>
  <borders count="4">
    <border diagonalUp="false" diagonalDown="false">
      <left/>
      <right/>
      <top/>
      <bottom/>
      <diagonal/>
    </border>
    <border diagonalUp="false" diagonalDown="false">
      <left style="thin">
        <color rgb="FFC3BAA6"/>
      </left>
      <right style="thin">
        <color rgb="FFC3BAA6"/>
      </right>
      <top style="thin">
        <color rgb="FFC3BAA6"/>
      </top>
      <bottom style="thin">
        <color rgb="FFC3BAA6"/>
      </bottom>
      <diagonal/>
    </border>
    <border diagonalUp="false" diagonalDown="false">
      <left/>
      <right/>
      <top/>
      <bottom style="thin">
        <color rgb="FFC3BAA6"/>
      </bottom>
      <diagonal/>
    </border>
    <border diagonalUp="false" diagonalDown="false">
      <left/>
      <right/>
      <top/>
      <bottom style="thick">
        <color rgb="FF19344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bottom" textRotation="0" wrapText="false" indent="0" shrinkToFit="false"/>
      <protection locked="true" hidden="false"/>
    </xf>
    <xf numFmtId="165" fontId="8" fillId="3" borderId="1" xfId="0" applyFont="true" applyBorder="true" applyAlignment="true" applyProtection="true">
      <alignment horizontal="center" vertical="bottom" textRotation="0" wrapText="false" indent="0" shrinkToFit="false"/>
      <protection locked="fals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xf numFmtId="166" fontId="11" fillId="3" borderId="1" xfId="0" applyFont="true" applyBorder="true" applyAlignment="false" applyProtection="true">
      <alignment horizontal="general" vertical="bottom" textRotation="0" wrapText="false" indent="0" shrinkToFit="false"/>
      <protection locked="false" hidden="false"/>
    </xf>
    <xf numFmtId="164" fontId="10" fillId="0" borderId="0" xfId="0" applyFont="true" applyBorder="true" applyAlignment="true" applyProtection="false">
      <alignment horizontal="general" vertical="center" textRotation="0" wrapText="true" indent="0" shrinkToFit="false"/>
      <protection locked="true" hidden="false"/>
    </xf>
    <xf numFmtId="166"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2" borderId="0" xfId="0" applyFont="true" applyBorder="false" applyAlignment="true" applyProtection="false">
      <alignment horizontal="general" vertical="center" textRotation="0" wrapText="true" indent="0" shrinkToFit="false"/>
      <protection locked="true" hidden="false"/>
    </xf>
    <xf numFmtId="164" fontId="16" fillId="2" borderId="0" xfId="0" applyFont="true" applyBorder="true" applyAlignment="true" applyProtection="false">
      <alignment horizontal="general" vertical="center" textRotation="0" wrapText="true" indent="0" shrinkToFit="false"/>
      <protection locked="true" hidden="false"/>
    </xf>
    <xf numFmtId="167" fontId="17" fillId="0" borderId="2" xfId="0" applyFont="true" applyBorder="true" applyAlignment="false" applyProtection="false">
      <alignment horizontal="general" vertical="bottom" textRotation="0" wrapText="false" indent="0" shrinkToFit="false"/>
      <protection locked="true" hidden="false"/>
    </xf>
    <xf numFmtId="168" fontId="17" fillId="0" borderId="2" xfId="0" applyFont="true" applyBorder="true" applyAlignment="false" applyProtection="false">
      <alignment horizontal="general" vertical="bottom" textRotation="0" wrapText="false" indent="0" shrinkToFit="false"/>
      <protection locked="true" hidden="false"/>
    </xf>
    <xf numFmtId="165" fontId="17" fillId="0" borderId="2" xfId="0" applyFont="true" applyBorder="true" applyAlignment="false" applyProtection="false">
      <alignment horizontal="general" vertical="bottom" textRotation="0" wrapText="false" indent="0" shrinkToFit="false"/>
      <protection locked="true" hidden="false"/>
    </xf>
    <xf numFmtId="169" fontId="17" fillId="0" borderId="2" xfId="0" applyFont="true" applyBorder="true" applyAlignment="false" applyProtection="false">
      <alignment horizontal="general" vertical="bottom" textRotation="0" wrapText="false" indent="0" shrinkToFit="false"/>
      <protection locked="true" hidden="false"/>
    </xf>
    <xf numFmtId="164" fontId="18" fillId="0" borderId="2" xfId="0" applyFont="true" applyBorder="true" applyAlignment="false" applyProtection="false">
      <alignment horizontal="general" vertical="bottom" textRotation="0" wrapText="false" indent="0" shrinkToFit="false"/>
      <protection locked="true" hidden="false"/>
    </xf>
    <xf numFmtId="168" fontId="17" fillId="0" borderId="3" xfId="0" applyFont="true" applyBorder="true" applyAlignment="false" applyProtection="false">
      <alignment horizontal="general" vertical="bottom" textRotation="0" wrapText="false" indent="0" shrinkToFit="false"/>
      <protection locked="true" hidden="false"/>
    </xf>
    <xf numFmtId="164" fontId="17" fillId="0" borderId="3" xfId="0" applyFont="true" applyBorder="true" applyAlignment="false" applyProtection="false">
      <alignment horizontal="general" vertical="bottom" textRotation="0" wrapText="false" indent="0" shrinkToFit="false"/>
      <protection locked="true" hidden="false"/>
    </xf>
    <xf numFmtId="165" fontId="17" fillId="0" borderId="3" xfId="0" applyFont="true" applyBorder="true" applyAlignment="false" applyProtection="false">
      <alignment horizontal="general" vertical="bottom" textRotation="0" wrapText="false" indent="0" shrinkToFit="false"/>
      <protection locked="true" hidden="false"/>
    </xf>
    <xf numFmtId="164" fontId="18" fillId="0" borderId="3"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6" fillId="4" borderId="0" xfId="0" applyFont="true" applyBorder="false" applyAlignment="true" applyProtection="false">
      <alignment horizontal="general" vertical="center" textRotation="0" wrapText="true" indent="0" shrinkToFit="false"/>
      <protection locked="true" hidden="false"/>
    </xf>
    <xf numFmtId="164" fontId="17" fillId="3" borderId="0" xfId="0" applyFont="true" applyBorder="false" applyAlignment="false" applyProtection="false">
      <alignment horizontal="general" vertical="bottom" textRotation="0" wrapText="false" indent="0" shrinkToFit="false"/>
      <protection locked="true" hidden="false"/>
    </xf>
    <xf numFmtId="166" fontId="17" fillId="3" borderId="0" xfId="0" applyFont="true" applyBorder="false" applyAlignment="false" applyProtection="false">
      <alignment horizontal="general" vertical="bottom" textRotation="0" wrapText="false" indent="0" shrinkToFit="false"/>
      <protection locked="true" hidden="false"/>
    </xf>
    <xf numFmtId="165" fontId="17" fillId="3"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8" fontId="22" fillId="0" borderId="2" xfId="0" applyFont="true" applyBorder="true" applyAlignment="false" applyProtection="false">
      <alignment horizontal="general" vertical="bottom" textRotation="0" wrapText="false" indent="0" shrinkToFit="false"/>
      <protection locked="true" hidden="false"/>
    </xf>
    <xf numFmtId="165" fontId="22" fillId="0" borderId="2" xfId="0" applyFont="true" applyBorder="true" applyAlignment="false" applyProtection="false">
      <alignment horizontal="general" vertical="bottom" textRotation="0" wrapText="false" indent="0" shrinkToFit="false"/>
      <protection locked="true" hidden="false"/>
    </xf>
    <xf numFmtId="169" fontId="22" fillId="0"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23" fillId="5"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8" fontId="22" fillId="0" borderId="0" xfId="0" applyFont="true" applyBorder="false" applyAlignment="true" applyProtection="false">
      <alignment horizontal="general" vertical="top" textRotation="0" wrapText="false" indent="0" shrinkToFit="false"/>
      <protection locked="true" hidden="false"/>
    </xf>
    <xf numFmtId="164" fontId="22" fillId="0" borderId="0" xfId="0" applyFont="true" applyBorder="false" applyAlignment="true" applyProtection="false">
      <alignment horizontal="general" vertical="top" textRotation="0" wrapText="true" indent="1" shrinkToFit="false"/>
      <protection locked="true" hidden="false"/>
    </xf>
    <xf numFmtId="165" fontId="22" fillId="0" borderId="0" xfId="0" applyFont="true" applyBorder="false" applyAlignment="true" applyProtection="false">
      <alignment horizontal="general" vertical="top" textRotation="0" wrapText="false" indent="0" shrinkToFit="false"/>
      <protection locked="true" hidden="false"/>
    </xf>
    <xf numFmtId="164" fontId="22" fillId="0" borderId="0" xfId="0" applyFont="true" applyBorder="true" applyAlignment="true" applyProtection="false">
      <alignment horizontal="general" vertical="top" textRotation="0" wrapText="false" indent="0" shrinkToFit="false"/>
      <protection locked="true" hidden="false"/>
    </xf>
    <xf numFmtId="170" fontId="24" fillId="0" borderId="0" xfId="0" applyFont="true" applyBorder="fals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ont>
        <name val="Arial"/>
        <charset val="1"/>
        <family val="0"/>
        <b val="1"/>
        <color rgb="FF84291D"/>
      </font>
      <fill>
        <patternFill>
          <bgColor rgb="FFF3D8D2"/>
        </patternFill>
      </fill>
    </dxf>
    <dxf>
      <font>
        <name val="Arial"/>
        <charset val="1"/>
        <family val="0"/>
        <b val="1"/>
        <color rgb="FF6A4700"/>
      </font>
      <fill>
        <patternFill>
          <bgColor rgb="FFF7E6C3"/>
        </patternFill>
      </fill>
    </dxf>
    <dxf>
      <font>
        <name val="Arial"/>
        <charset val="1"/>
        <family val="0"/>
        <b val="1"/>
        <color rgb="FF2B5634"/>
      </font>
      <fill>
        <patternFill>
          <bgColor rgb="FFDCE7DD"/>
        </patternFill>
      </fill>
    </dxf>
    <dxf>
      <fill>
        <patternFill patternType="solid">
          <fgColor rgb="FF193447"/>
          <bgColor rgb="FF000000"/>
        </patternFill>
      </fill>
    </dxf>
    <dxf>
      <fill>
        <patternFill patternType="solid">
          <fgColor rgb="FFE2EAE1"/>
          <bgColor rgb="FF000000"/>
        </patternFill>
      </fill>
    </dxf>
    <dxf>
      <fill>
        <patternFill patternType="solid">
          <fgColor rgb="FF1E2A32"/>
          <bgColor rgb="FF000000"/>
        </patternFill>
      </fill>
    </dxf>
    <dxf>
      <fill>
        <patternFill patternType="solid">
          <fgColor rgb="FFFFFFFF"/>
          <bgColor rgb="FF000000"/>
        </patternFill>
      </fill>
    </dxf>
    <dxf>
      <fill>
        <patternFill patternType="solid">
          <fgColor rgb="FF3F5A44"/>
          <bgColor rgb="FF000000"/>
        </patternFill>
      </fill>
    </dxf>
    <dxf>
      <fill>
        <patternFill patternType="solid">
          <bgColor rgb="FF000000"/>
        </patternFill>
      </fill>
    </dxf>
    <dxf>
      <fill>
        <patternFill patternType="solid">
          <fgColor rgb="FF56656D"/>
          <bgColor rgb="FF000000"/>
        </patternFill>
      </fill>
    </dxf>
    <dxf>
      <font>
        <name val="Arial"/>
        <charset val="1"/>
        <family val="0"/>
        <b val="1"/>
        <color rgb="FF1E2A32"/>
      </font>
      <fill>
        <patternFill>
          <bgColor rgb="FFF4F1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BAA6"/>
      <rgbColor rgb="FF808080"/>
      <rgbColor rgb="FF9999FF"/>
      <rgbColor rgb="FF6A4700"/>
      <rgbColor rgb="FFF4F1EA"/>
      <rgbColor rgb="FFE2EAE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7DD"/>
      <rgbColor rgb="FFF7E6C3"/>
      <rgbColor rgb="FF99CCFF"/>
      <rgbColor rgb="FFFF99CC"/>
      <rgbColor rgb="FFCC99FF"/>
      <rgbColor rgb="FFF3D8D2"/>
      <rgbColor rgb="FF3366FF"/>
      <rgbColor rgb="FF33CCCC"/>
      <rgbColor rgb="FF99CC00"/>
      <rgbColor rgb="FFFFCC00"/>
      <rgbColor rgb="FFFF9900"/>
      <rgbColor rgb="FFFF6600"/>
      <rgbColor rgb="FF56656D"/>
      <rgbColor rgb="FF969696"/>
      <rgbColor rgb="FF193447"/>
      <rgbColor rgb="FF339966"/>
      <rgbColor rgb="FF003300"/>
      <rgbColor rgb="FF2B5634"/>
      <rgbColor rgb="FF84291D"/>
      <rgbColor rgb="FF993366"/>
      <rgbColor rgb="FF3F5A44"/>
      <rgbColor rgb="FF1E2A3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ables/table1.xml><?xml version="1.0" encoding="utf-8"?>
<table xmlns="http://schemas.openxmlformats.org/spreadsheetml/2006/main" id="1" name="tblCustomers" displayName="tblCustomers" ref="A11:P311" headerRowCount="1" totalsRowCount="0" totalsRowShown="0">
  <autoFilter ref="A11:P311"/>
  <tableColumns count="16">
    <tableColumn id="1" name="Customer / site"/>
    <tableColumn id="2" name="First visit (date)"/>
    <tableColumn id="3" name="Repeat every"/>
    <tableColumn id="4" name="Visit length (hours)"/>
    <tableColumn id="5" name="Last visit (optional, included)"/>
    <tableColumn id="6" name="Weekday (calc)"/>
    <tableColumn id="7" name="Visits in window (calc)"/>
    <tableColumn id="8" name="Status (calc)"/>
    <tableColumn id="9" name="Details to check (calc)"/>
    <tableColumn id="10" name="Complete 1/0 (calc)"/>
    <tableColumn id="11" name="First used (calc)"/>
    <tableColumn id="12" name="Cycle days (calc)"/>
    <tableColumn id="13" name="Last used (calc)"/>
    <tableColumn id="14" name="Hours x100 (calc)"/>
    <tableColumn id="15" name="Date in printed week (calc)"/>
    <tableColumn id="16" name="Week list order (calc)"/>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4"/>
    <col collapsed="false" customWidth="true" hidden="false" outlineLevel="0" max="6" min="4" style="0" width="10"/>
    <col collapsed="false" customWidth="true" hidden="false" outlineLevel="0" max="7" min="7" style="0" width="13"/>
    <col collapsed="false" customWidth="true" hidden="false" outlineLevel="0" max="8" min="8" style="0" width="12"/>
    <col collapsed="false" customWidth="true" hidden="false" outlineLevel="0" max="9" min="9" style="0" width="18"/>
  </cols>
  <sheetData>
    <row r="1" customFormat="false" ht="27.75" hidden="false" customHeight="true" outlineLevel="0" collapsed="false">
      <c r="A1" s="1" t="s">
        <v>0</v>
      </c>
    </row>
    <row r="2" customFormat="false" ht="39.75" hidden="false" customHeight="true" outlineLevel="0" collapsed="false">
      <c r="A2" s="2" t="s">
        <v>1</v>
      </c>
      <c r="B2" s="2"/>
      <c r="C2" s="2"/>
      <c r="D2" s="2"/>
      <c r="E2" s="2"/>
      <c r="F2" s="2"/>
      <c r="G2" s="2"/>
      <c r="H2" s="2"/>
      <c r="I2" s="2"/>
    </row>
    <row r="4" customFormat="false" ht="27.75" hidden="false" customHeight="true" outlineLevel="0" collapsed="false">
      <c r="A4" s="3" t="s">
        <v>2</v>
      </c>
      <c r="B4" s="3"/>
      <c r="C4" s="3"/>
      <c r="D4" s="3"/>
      <c r="E4" s="3"/>
      <c r="F4" s="3"/>
      <c r="G4" s="3"/>
      <c r="H4" s="3"/>
      <c r="I4" s="3"/>
    </row>
    <row r="5" customFormat="false" ht="15" hidden="false" customHeight="false" outlineLevel="0" collapsed="false">
      <c r="A5" s="4" t="s">
        <v>3</v>
      </c>
      <c r="B5" s="5" t="s">
        <v>4</v>
      </c>
      <c r="C5" s="5" t="s">
        <v>5</v>
      </c>
      <c r="D5" s="5" t="s">
        <v>6</v>
      </c>
      <c r="E5" s="5" t="s">
        <v>7</v>
      </c>
      <c r="F5" s="5" t="s">
        <v>8</v>
      </c>
      <c r="G5" s="5" t="s">
        <v>9</v>
      </c>
      <c r="H5" s="5" t="s">
        <v>10</v>
      </c>
    </row>
    <row r="6" customFormat="false" ht="15" hidden="false" customHeight="false" outlineLevel="0" collapsed="false">
      <c r="A6" s="4" t="s">
        <v>11</v>
      </c>
      <c r="B6" s="6"/>
      <c r="C6" s="6"/>
      <c r="D6" s="6"/>
      <c r="E6" s="6"/>
      <c r="F6" s="6"/>
      <c r="G6" s="6"/>
      <c r="H6" s="6"/>
    </row>
    <row r="7" customFormat="false" ht="15" hidden="false" customHeight="false" outlineLevel="0" collapsed="false">
      <c r="A7" s="4" t="s">
        <v>12</v>
      </c>
      <c r="B7" s="7" t="str">
        <f aca="false">IF(B6="","Not set",IF(NOT(ISNUMBER(B6)),"Fix: number",IF(B6&lt;0,"Fix: negative",IF(B6&gt;24,"Fix: 24 max",IF(ABS(B6*100-ROUND(B6*100,0))&gt;0.000001,"Fix: 2 decimals",IF(B6=0,"Closed","OK"))))))</f>
        <v>Not set</v>
      </c>
      <c r="C7" s="7" t="str">
        <f aca="false">IF(C6="","Not set",IF(NOT(ISNUMBER(C6)),"Fix: number",IF(C6&lt;0,"Fix: negative",IF(C6&gt;24,"Fix: 24 max",IF(ABS(C6*100-ROUND(C6*100,0))&gt;0.000001,"Fix: 2 decimals",IF(C6=0,"Closed","OK"))))))</f>
        <v>Not set</v>
      </c>
      <c r="D7" s="7" t="str">
        <f aca="false">IF(D6="","Not set",IF(NOT(ISNUMBER(D6)),"Fix: number",IF(D6&lt;0,"Fix: negative",IF(D6&gt;24,"Fix: 24 max",IF(ABS(D6*100-ROUND(D6*100,0))&gt;0.000001,"Fix: 2 decimals",IF(D6=0,"Closed","OK"))))))</f>
        <v>Not set</v>
      </c>
      <c r="E7" s="7" t="str">
        <f aca="false">IF(E6="","Not set",IF(NOT(ISNUMBER(E6)),"Fix: number",IF(E6&lt;0,"Fix: negative",IF(E6&gt;24,"Fix: 24 max",IF(ABS(E6*100-ROUND(E6*100,0))&gt;0.000001,"Fix: 2 decimals",IF(E6=0,"Closed","OK"))))))</f>
        <v>Not set</v>
      </c>
      <c r="F7" s="7" t="str">
        <f aca="false">IF(F6="","Not set",IF(NOT(ISNUMBER(F6)),"Fix: number",IF(F6&lt;0,"Fix: negative",IF(F6&gt;24,"Fix: 24 max",IF(ABS(F6*100-ROUND(F6*100,0))&gt;0.000001,"Fix: 2 decimals",IF(F6=0,"Closed","OK"))))))</f>
        <v>Not set</v>
      </c>
      <c r="G7" s="7" t="str">
        <f aca="false">IF(G6="","Not set",IF(NOT(ISNUMBER(G6)),"Fix: number",IF(G6&lt;0,"Fix: negative",IF(G6&gt;24,"Fix: 24 max",IF(ABS(G6*100-ROUND(G6*100,0))&gt;0.000001,"Fix: 2 decimals",IF(G6=0,"Closed","OK"))))))</f>
        <v>Not set</v>
      </c>
      <c r="H7" s="7" t="str">
        <f aca="false">IF(H6="","Not set",IF(NOT(ISNUMBER(H6)),"Fix: number",IF(H6&lt;0,"Fix: negative",IF(H6&gt;24,"Fix: 24 max",IF(ABS(H6*100-ROUND(H6*100,0))&gt;0.000001,"Fix: 2 decimals",IF(H6=0,"Closed","OK"))))))</f>
        <v>Not set</v>
      </c>
    </row>
    <row r="8" customFormat="false" ht="25.5" hidden="false" customHeight="true" outlineLevel="0" collapsed="false">
      <c r="A8" s="8" t="s">
        <v>13</v>
      </c>
      <c r="B8" s="8"/>
      <c r="C8" s="8"/>
      <c r="D8" s="8"/>
      <c r="E8" s="8"/>
      <c r="F8" s="8"/>
      <c r="G8" s="8"/>
      <c r="H8" s="8"/>
      <c r="I8" s="8"/>
    </row>
    <row r="10" customFormat="false" ht="25.5" hidden="false" customHeight="true" outlineLevel="0" collapsed="false">
      <c r="A10" s="4" t="s">
        <v>14</v>
      </c>
      <c r="B10" s="9"/>
      <c r="C10" s="9"/>
      <c r="D10" s="10" t="s">
        <v>15</v>
      </c>
      <c r="E10" s="10"/>
      <c r="F10" s="10"/>
      <c r="G10" s="10"/>
      <c r="H10" s="10"/>
      <c r="I10" s="10"/>
    </row>
    <row r="11" customFormat="false" ht="25.5" hidden="false" customHeight="true" outlineLevel="0" collapsed="false">
      <c r="A11" s="4" t="s">
        <v>4</v>
      </c>
      <c r="B11" s="11" t="n">
        <f aca="true">IF($B$10="",TODAY()-WEEKDAY(TODAY(),3),IF(IF(ISNUMBER($B$10),AND($B$10=INT($B$10),$B$10&gt;=DATE(2000,1,1),$B$10&lt;=DATE(2099,12,31)),FALSE()),MIN(MAX($B$10-WEEKDAY($B$10,3),DATE(2000,1,3)),DATE(2099,10,5)),TODAY()-WEEKDAY(TODAY(),3)))</f>
        <v>46314</v>
      </c>
      <c r="C11" s="11"/>
      <c r="D11" s="12" t="str">
        <f aca="false">IF(AND($B$10&lt;&gt;"",NOT(IF(ISNUMBER($B$10),AND($B$10=INT($B$10),$B$10&gt;=DATE(2000,1,1),$B$10&lt;=DATE(2099,12,31)),FALSE()))),"⚠ The window date isn't a real date from 2000 to 2099 (or has a time), so this week is shown instead.","12 weeks: "&amp;CHOOSE(WEEKDAY($B$11,2),"Mon","Tue","Wed","Thu","Fri","Sat","Sun")&amp;" "&amp;CHOOSE(MONTH($B$11),"Jan","Feb","Mar","Apr","May","Jun","Jul","Aug","Sep","Oct","Nov","Dec")&amp;" "&amp;DAY($B$11)&amp;", "&amp;YEAR($B$11)&amp;" to "&amp;CHOOSE(WEEKDAY($B$11+83,2),"Mon","Tue","Wed","Thu","Fri","Sat","Sun")&amp;" "&amp;CHOOSE(MONTH($B$11+83),"Jan","Feb","Mar","Apr","May","Jun","Jul","Aug","Sep","Oct","Nov","Dec")&amp;" "&amp;DAY($B$11+83)&amp;", "&amp;YEAR($B$11+83)&amp;IF(AND($B$10&lt;&gt;"",$B$10&lt;&gt;$B$11)," (weeks run Monday to Sunday, so "&amp;CHOOSE(WEEKDAY($B$10,2),"Mon","Tue","Wed","Thu","Fri","Sat","Sun")&amp;" "&amp;CHOOSE(MONTH($B$10),"Jan","Feb","Mar","Apr","May","Jun","Jul","Aug","Sep","Oct","Nov","Dec")&amp;" "&amp;DAY($B$10)&amp;", "&amp;YEAR($B$10)&amp;" starts its week's Monday)",""))</f>
        <v>12 weeks: Mon Oct 19, 2026 to Sun Jan 10, 2027</v>
      </c>
      <c r="E11" s="12"/>
      <c r="F11" s="12"/>
      <c r="G11" s="12"/>
      <c r="H11" s="12"/>
      <c r="I11" s="12"/>
    </row>
    <row r="13" customFormat="false" ht="30" hidden="false" customHeight="true" outlineLevel="0" collapsed="false">
      <c r="A13" s="13" t="s">
        <v>16</v>
      </c>
      <c r="B13" s="14" t="str">
        <f aca="false">IF(COUNTIF($I$36:$I$119,"Over capacity")&gt;0,"⚠ Over capacity on "&amp;COUNTIF($I$36:$I$119,"Over capacity")&amp;" day(s) in these 12 weeks. First: "&amp;CHOOSE(WEEKDAY(INDEX($A$36:$A$119,MATCH("Over capacity",$I$36:$I$119,0)),2),"Mon","Tue","Wed","Thu","Fri","Sat","Sun")&amp;" "&amp;CHOOSE(MONTH(INDEX($A$36:$A$119,MATCH("Over capacity",$I$36:$I$119,0))),"Jan","Feb","Mar","Apr","May","Jun","Jul","Aug","Sep","Oct","Nov","Dec")&amp;" "&amp;DAY(INDEX($A$36:$A$119,MATCH("Over capacity",$I$36:$I$119,0)))&amp;", "&amp;YEAR(INDEX($A$36:$A$119,MATCH("Over capacity",$I$36:$I$119,0)))&amp;" ("&amp;SUBSTITUTE(SUBSTITUTE(TEXT(INDEX($G$36:$G$119,MATCH("Over capacity",$I$36:$I$119,0)),"0.00")&amp;"|",".00|",""),"|","")&amp;" h over)"&amp;". See the weekly overview and the day list.",IF(SUMPRODUCT(--(LEN(Customers!$H$12:$H$311)&gt;0))=0,"No recurring customers yet. Enter your available hours above, then add customers on the Customers sheet.",IF(OR(COUNTIF(Plan!$B$7:$H$7,"Not set")+(7-COUNTIF(Plan!$B$7:$H$7,"OK")-COUNTIF(Plan!$B$7:$H$7,"Closed")-COUNTIF(Plan!$B$7:$H$7,"Not set"))+COUNTIF(Customers!$H$12:$H$311,"Check details")+SUMPRODUCT(--(LEN(Customers!$A$312:$A$5000&amp;Customers!$B$312:$B$5000&amp;Customers!$C$312:$C$5000&amp;Customers!$D$312:$D$5000&amp;Customers!$E$312:$E$5000)&gt;0))&gt;0,AND($B$10&lt;&gt;"",NOT(IF(ISNUMBER($B$10),AND($B$10=INT($B$10),$B$10&gt;=DATE(2000,1,1),$B$10&lt;=DATE(2099,12,31)),FALSE())))),"⚠ No day is over capacity on what can be checked, but this window can't be confirmed yet. See the warnings below.","✓ Every day in these 12 weeks fits your available hours. Patterns that start or end outside the window can change later weeks.")))</f>
        <v>No recurring customers yet. Enter your available hours above, then add customers on the Customers sheet.</v>
      </c>
      <c r="C13" s="14"/>
      <c r="D13" s="14"/>
      <c r="E13" s="14"/>
      <c r="F13" s="14"/>
      <c r="G13" s="14"/>
      <c r="H13" s="14"/>
      <c r="I13" s="14"/>
    </row>
    <row r="14" customFormat="false" ht="15" hidden="false" customHeight="false" outlineLevel="0" collapsed="false">
      <c r="B14" s="15" t="str">
        <f aca="false">IF(COUNTIF(Plan!$B$7:$H$7,"Not set")+(7-COUNTIF(Plan!$B$7:$H$7,"OK")-COUNTIF(Plan!$B$7:$H$7,"Closed")-COUNTIF(Plan!$B$7:$H$7,"Not set"))&gt;0,"⚠ Hours not usable for "&amp;(COUNTIF(Plan!$B$7:$H$7,"Not set")+(7-COUNTIF(Plan!$B$7:$H$7,"OK")-COUNTIF(Plan!$B$7:$H$7,"Closed")-COUNTIF(Plan!$B$7:$H$7,"Not set")))&amp;" weekday(s) (see row 7). Those days can't be checked.","")</f>
        <v>⚠ Hours not usable for 7 weekday(s) (see row 7). Those days can't be checked.</v>
      </c>
      <c r="C14" s="15"/>
      <c r="D14" s="15"/>
      <c r="E14" s="15"/>
      <c r="F14" s="15"/>
      <c r="G14" s="15"/>
      <c r="H14" s="15"/>
      <c r="I14" s="15"/>
    </row>
    <row r="15" customFormat="false" ht="15" hidden="false" customHeight="false" outlineLevel="0" collapsed="false">
      <c r="B15" s="15" t="str">
        <f aca="false">IF(COUNTIF(Customers!$H$12:$H$311,"Check details")&gt;0,"⚠ "&amp;COUNTIF(Customers!$H$12:$H$311,"Check details")&amp;" customer(s) need details on the Customers sheet. Their visits aren't in the planned hours.","")</f>
        <v/>
      </c>
      <c r="C15" s="15"/>
      <c r="D15" s="15"/>
      <c r="E15" s="15"/>
      <c r="F15" s="15"/>
      <c r="G15" s="15"/>
      <c r="H15" s="15"/>
      <c r="I15" s="15"/>
    </row>
    <row r="16" customFormat="false" ht="15" hidden="false" customHeight="false" outlineLevel="0" collapsed="false">
      <c r="B16" s="15" t="str">
        <f aca="false">IF(SUMPRODUCT(--(LEN(Customers!$A$312:$A$5000&amp;Customers!$B$312:$B$5000&amp;Customers!$C$312:$C$5000&amp;Customers!$D$312:$D$5000&amp;Customers!$E$312:$E$5000)&gt;0))&gt;0,"⚠ "&amp;SUMPRODUCT(--(LEN(Customers!$A$312:$A$5000&amp;Customers!$B$312:$B$5000&amp;Customers!$C$312:$C$5000&amp;Customers!$D$312:$D$5000&amp;Customers!$E$312:$E$5000)&gt;0))&amp;" row(s) typed below row 311 on the Customers sheet aren't counted. Move them into the table.","")</f>
        <v/>
      </c>
      <c r="C16" s="15"/>
      <c r="D16" s="15"/>
      <c r="E16" s="15"/>
      <c r="F16" s="15"/>
      <c r="G16" s="15"/>
      <c r="H16" s="15"/>
      <c r="I16" s="15"/>
    </row>
    <row r="17" customFormat="false" ht="25.5" hidden="false" customHeight="true" outlineLevel="0" collapsed="false">
      <c r="B17" s="16" t="str">
        <f aca="false">IF(SUMPRODUCT(--(LEN(Customers!$H$12:$H$311)&gt;0))=0,"",SUMPRODUCT(--(LEN(Customers!$H$12:$H$311)&gt;0))-COUNTIF(Customers!$H$12:$H$311,"Check details")&amp;" of "&amp;SUMPRODUCT(--(LEN(Customers!$H$12:$H$311)&gt;0))&amp;" customer(s) counted. Nothing is moved for you; change a pattern or your hours deliberately and confirm changes with the customers affected.")</f>
        <v/>
      </c>
      <c r="C17" s="16"/>
      <c r="D17" s="16"/>
      <c r="E17" s="16"/>
      <c r="F17" s="16"/>
      <c r="G17" s="16"/>
      <c r="H17" s="16"/>
      <c r="I17" s="16"/>
    </row>
    <row r="19" customFormat="false" ht="15" hidden="false" customHeight="false" outlineLevel="0" collapsed="false">
      <c r="A19" s="17" t="s">
        <v>17</v>
      </c>
    </row>
    <row r="20" customFormat="false" ht="39.75" hidden="false" customHeight="true" outlineLevel="0" collapsed="false">
      <c r="A20" s="18" t="s">
        <v>18</v>
      </c>
      <c r="B20" s="18" t="s">
        <v>4</v>
      </c>
      <c r="C20" s="18" t="s">
        <v>10</v>
      </c>
      <c r="D20" s="18" t="s">
        <v>19</v>
      </c>
      <c r="E20" s="18" t="s">
        <v>20</v>
      </c>
      <c r="F20" s="18" t="s">
        <v>21</v>
      </c>
      <c r="G20" s="18" t="s">
        <v>22</v>
      </c>
      <c r="H20" s="19" t="s">
        <v>16</v>
      </c>
      <c r="I20" s="19"/>
    </row>
    <row r="21" customFormat="false" ht="15" hidden="false" customHeight="false" outlineLevel="0" collapsed="false">
      <c r="A21" s="20" t="n">
        <v>1</v>
      </c>
      <c r="B21" s="21" t="n">
        <f aca="false">WinStart+0</f>
        <v>46314</v>
      </c>
      <c r="C21" s="21" t="n">
        <f aca="false">WinStart+6</f>
        <v>46320</v>
      </c>
      <c r="D21" s="22" t="n">
        <f aca="false">ROUND(SUMIF($C$36:$C$119,$A21,$E$36:$E$119)*100,0)/100</f>
        <v>0</v>
      </c>
      <c r="E21" s="23" t="n">
        <f aca="false">COUNTIFS($C$36:$C$119,$A21,$I$36:$I$119,"Over capacity")</f>
        <v>0</v>
      </c>
      <c r="F21" s="22" t="n">
        <f aca="false">ROUND(SUMIF($C$36:$C$119,$A21,$G$36:$G$119)*100,0)/100</f>
        <v>0</v>
      </c>
      <c r="G21" s="23" t="n">
        <f aca="false">COUNTIFS($C$36:$C$119,$A21,$I$36:$I$119,"Capacity not set",$D$36:$D$119,"&gt;0")</f>
        <v>0</v>
      </c>
      <c r="H21" s="24" t="str">
        <f aca="false">IF($E21&gt;0,$E21&amp;" day(s) over",IF($G21&gt;0,"Can't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1" s="24"/>
    </row>
    <row r="22" customFormat="false" ht="15" hidden="false" customHeight="false" outlineLevel="0" collapsed="false">
      <c r="A22" s="20" t="n">
        <v>2</v>
      </c>
      <c r="B22" s="21" t="n">
        <f aca="false">WinStart+7</f>
        <v>46321</v>
      </c>
      <c r="C22" s="21" t="n">
        <f aca="false">WinStart+13</f>
        <v>46327</v>
      </c>
      <c r="D22" s="22" t="n">
        <f aca="false">ROUND(SUMIF($C$36:$C$119,$A22,$E$36:$E$119)*100,0)/100</f>
        <v>0</v>
      </c>
      <c r="E22" s="23" t="n">
        <f aca="false">COUNTIFS($C$36:$C$119,$A22,$I$36:$I$119,"Over capacity")</f>
        <v>0</v>
      </c>
      <c r="F22" s="22" t="n">
        <f aca="false">ROUND(SUMIF($C$36:$C$119,$A22,$G$36:$G$119)*100,0)/100</f>
        <v>0</v>
      </c>
      <c r="G22" s="23" t="n">
        <f aca="false">COUNTIFS($C$36:$C$119,$A22,$I$36:$I$119,"Capacity not set",$D$36:$D$119,"&gt;0")</f>
        <v>0</v>
      </c>
      <c r="H22" s="24" t="str">
        <f aca="false">IF($E22&gt;0,$E22&amp;" day(s) over",IF($G22&gt;0,"Can't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2" s="24"/>
    </row>
    <row r="23" customFormat="false" ht="15" hidden="false" customHeight="false" outlineLevel="0" collapsed="false">
      <c r="A23" s="20" t="n">
        <v>3</v>
      </c>
      <c r="B23" s="21" t="n">
        <f aca="false">WinStart+14</f>
        <v>46328</v>
      </c>
      <c r="C23" s="21" t="n">
        <f aca="false">WinStart+20</f>
        <v>46334</v>
      </c>
      <c r="D23" s="22" t="n">
        <f aca="false">ROUND(SUMIF($C$36:$C$119,$A23,$E$36:$E$119)*100,0)/100</f>
        <v>0</v>
      </c>
      <c r="E23" s="23" t="n">
        <f aca="false">COUNTIFS($C$36:$C$119,$A23,$I$36:$I$119,"Over capacity")</f>
        <v>0</v>
      </c>
      <c r="F23" s="22" t="n">
        <f aca="false">ROUND(SUMIF($C$36:$C$119,$A23,$G$36:$G$119)*100,0)/100</f>
        <v>0</v>
      </c>
      <c r="G23" s="23" t="n">
        <f aca="false">COUNTIFS($C$36:$C$119,$A23,$I$36:$I$119,"Capacity not set",$D$36:$D$119,"&gt;0")</f>
        <v>0</v>
      </c>
      <c r="H23" s="24" t="str">
        <f aca="false">IF($E23&gt;0,$E23&amp;" day(s) over",IF($G23&gt;0,"Can't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3" s="24"/>
    </row>
    <row r="24" customFormat="false" ht="15" hidden="false" customHeight="false" outlineLevel="0" collapsed="false">
      <c r="A24" s="20" t="n">
        <v>4</v>
      </c>
      <c r="B24" s="21" t="n">
        <f aca="false">WinStart+21</f>
        <v>46335</v>
      </c>
      <c r="C24" s="21" t="n">
        <f aca="false">WinStart+27</f>
        <v>46341</v>
      </c>
      <c r="D24" s="22" t="n">
        <f aca="false">ROUND(SUMIF($C$36:$C$119,$A24,$E$36:$E$119)*100,0)/100</f>
        <v>0</v>
      </c>
      <c r="E24" s="23" t="n">
        <f aca="false">COUNTIFS($C$36:$C$119,$A24,$I$36:$I$119,"Over capacity")</f>
        <v>0</v>
      </c>
      <c r="F24" s="22" t="n">
        <f aca="false">ROUND(SUMIF($C$36:$C$119,$A24,$G$36:$G$119)*100,0)/100</f>
        <v>0</v>
      </c>
      <c r="G24" s="23" t="n">
        <f aca="false">COUNTIFS($C$36:$C$119,$A24,$I$36:$I$119,"Capacity not set",$D$36:$D$119,"&gt;0")</f>
        <v>0</v>
      </c>
      <c r="H24" s="24" t="str">
        <f aca="false">IF($E24&gt;0,$E24&amp;" day(s) over",IF($G24&gt;0,"Can't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4" s="24"/>
    </row>
    <row r="25" customFormat="false" ht="15" hidden="false" customHeight="false" outlineLevel="0" collapsed="false">
      <c r="A25" s="20" t="n">
        <v>5</v>
      </c>
      <c r="B25" s="21" t="n">
        <f aca="false">WinStart+28</f>
        <v>46342</v>
      </c>
      <c r="C25" s="21" t="n">
        <f aca="false">WinStart+34</f>
        <v>46348</v>
      </c>
      <c r="D25" s="22" t="n">
        <f aca="false">ROUND(SUMIF($C$36:$C$119,$A25,$E$36:$E$119)*100,0)/100</f>
        <v>0</v>
      </c>
      <c r="E25" s="23" t="n">
        <f aca="false">COUNTIFS($C$36:$C$119,$A25,$I$36:$I$119,"Over capacity")</f>
        <v>0</v>
      </c>
      <c r="F25" s="22" t="n">
        <f aca="false">ROUND(SUMIF($C$36:$C$119,$A25,$G$36:$G$119)*100,0)/100</f>
        <v>0</v>
      </c>
      <c r="G25" s="23" t="n">
        <f aca="false">COUNTIFS($C$36:$C$119,$A25,$I$36:$I$119,"Capacity not set",$D$36:$D$119,"&gt;0")</f>
        <v>0</v>
      </c>
      <c r="H25" s="24" t="str">
        <f aca="false">IF($E25&gt;0,$E25&amp;" day(s) over",IF($G25&gt;0,"Can't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5" s="24"/>
    </row>
    <row r="26" customFormat="false" ht="15" hidden="false" customHeight="false" outlineLevel="0" collapsed="false">
      <c r="A26" s="20" t="n">
        <v>6</v>
      </c>
      <c r="B26" s="21" t="n">
        <f aca="false">WinStart+35</f>
        <v>46349</v>
      </c>
      <c r="C26" s="21" t="n">
        <f aca="false">WinStart+41</f>
        <v>46355</v>
      </c>
      <c r="D26" s="22" t="n">
        <f aca="false">ROUND(SUMIF($C$36:$C$119,$A26,$E$36:$E$119)*100,0)/100</f>
        <v>0</v>
      </c>
      <c r="E26" s="23" t="n">
        <f aca="false">COUNTIFS($C$36:$C$119,$A26,$I$36:$I$119,"Over capacity")</f>
        <v>0</v>
      </c>
      <c r="F26" s="22" t="n">
        <f aca="false">ROUND(SUMIF($C$36:$C$119,$A26,$G$36:$G$119)*100,0)/100</f>
        <v>0</v>
      </c>
      <c r="G26" s="23" t="n">
        <f aca="false">COUNTIFS($C$36:$C$119,$A26,$I$36:$I$119,"Capacity not set",$D$36:$D$119,"&gt;0")</f>
        <v>0</v>
      </c>
      <c r="H26" s="24" t="str">
        <f aca="false">IF($E26&gt;0,$E26&amp;" day(s) over",IF($G26&gt;0,"Can't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6" s="24"/>
    </row>
    <row r="27" customFormat="false" ht="15" hidden="false" customHeight="false" outlineLevel="0" collapsed="false">
      <c r="A27" s="20" t="n">
        <v>7</v>
      </c>
      <c r="B27" s="21" t="n">
        <f aca="false">WinStart+42</f>
        <v>46356</v>
      </c>
      <c r="C27" s="21" t="n">
        <f aca="false">WinStart+48</f>
        <v>46362</v>
      </c>
      <c r="D27" s="22" t="n">
        <f aca="false">ROUND(SUMIF($C$36:$C$119,$A27,$E$36:$E$119)*100,0)/100</f>
        <v>0</v>
      </c>
      <c r="E27" s="23" t="n">
        <f aca="false">COUNTIFS($C$36:$C$119,$A27,$I$36:$I$119,"Over capacity")</f>
        <v>0</v>
      </c>
      <c r="F27" s="22" t="n">
        <f aca="false">ROUND(SUMIF($C$36:$C$119,$A27,$G$36:$G$119)*100,0)/100</f>
        <v>0</v>
      </c>
      <c r="G27" s="23" t="n">
        <f aca="false">COUNTIFS($C$36:$C$119,$A27,$I$36:$I$119,"Capacity not set",$D$36:$D$119,"&gt;0")</f>
        <v>0</v>
      </c>
      <c r="H27" s="24" t="str">
        <f aca="false">IF($E27&gt;0,$E27&amp;" day(s) over",IF($G27&gt;0,"Can't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7" s="24"/>
    </row>
    <row r="28" customFormat="false" ht="15" hidden="false" customHeight="false" outlineLevel="0" collapsed="false">
      <c r="A28" s="20" t="n">
        <v>8</v>
      </c>
      <c r="B28" s="21" t="n">
        <f aca="false">WinStart+49</f>
        <v>46363</v>
      </c>
      <c r="C28" s="21" t="n">
        <f aca="false">WinStart+55</f>
        <v>46369</v>
      </c>
      <c r="D28" s="22" t="n">
        <f aca="false">ROUND(SUMIF($C$36:$C$119,$A28,$E$36:$E$119)*100,0)/100</f>
        <v>0</v>
      </c>
      <c r="E28" s="23" t="n">
        <f aca="false">COUNTIFS($C$36:$C$119,$A28,$I$36:$I$119,"Over capacity")</f>
        <v>0</v>
      </c>
      <c r="F28" s="22" t="n">
        <f aca="false">ROUND(SUMIF($C$36:$C$119,$A28,$G$36:$G$119)*100,0)/100</f>
        <v>0</v>
      </c>
      <c r="G28" s="23" t="n">
        <f aca="false">COUNTIFS($C$36:$C$119,$A28,$I$36:$I$119,"Capacity not set",$D$36:$D$119,"&gt;0")</f>
        <v>0</v>
      </c>
      <c r="H28" s="24" t="str">
        <f aca="false">IF($E28&gt;0,$E28&amp;" day(s) over",IF($G28&gt;0,"Can't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8" s="24"/>
    </row>
    <row r="29" customFormat="false" ht="15" hidden="false" customHeight="false" outlineLevel="0" collapsed="false">
      <c r="A29" s="20" t="n">
        <v>9</v>
      </c>
      <c r="B29" s="21" t="n">
        <f aca="false">WinStart+56</f>
        <v>46370</v>
      </c>
      <c r="C29" s="21" t="n">
        <f aca="false">WinStart+62</f>
        <v>46376</v>
      </c>
      <c r="D29" s="22" t="n">
        <f aca="false">ROUND(SUMIF($C$36:$C$119,$A29,$E$36:$E$119)*100,0)/100</f>
        <v>0</v>
      </c>
      <c r="E29" s="23" t="n">
        <f aca="false">COUNTIFS($C$36:$C$119,$A29,$I$36:$I$119,"Over capacity")</f>
        <v>0</v>
      </c>
      <c r="F29" s="22" t="n">
        <f aca="false">ROUND(SUMIF($C$36:$C$119,$A29,$G$36:$G$119)*100,0)/100</f>
        <v>0</v>
      </c>
      <c r="G29" s="23" t="n">
        <f aca="false">COUNTIFS($C$36:$C$119,$A29,$I$36:$I$119,"Capacity not set",$D$36:$D$119,"&gt;0")</f>
        <v>0</v>
      </c>
      <c r="H29" s="24" t="str">
        <f aca="false">IF($E29&gt;0,$E29&amp;" day(s) over",IF($G29&gt;0,"Can't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29" s="24"/>
    </row>
    <row r="30" customFormat="false" ht="15" hidden="false" customHeight="false" outlineLevel="0" collapsed="false">
      <c r="A30" s="20" t="n">
        <v>10</v>
      </c>
      <c r="B30" s="21" t="n">
        <f aca="false">WinStart+63</f>
        <v>46377</v>
      </c>
      <c r="C30" s="21" t="n">
        <f aca="false">WinStart+69</f>
        <v>46383</v>
      </c>
      <c r="D30" s="22" t="n">
        <f aca="false">ROUND(SUMIF($C$36:$C$119,$A30,$E$36:$E$119)*100,0)/100</f>
        <v>0</v>
      </c>
      <c r="E30" s="23" t="n">
        <f aca="false">COUNTIFS($C$36:$C$119,$A30,$I$36:$I$119,"Over capacity")</f>
        <v>0</v>
      </c>
      <c r="F30" s="22" t="n">
        <f aca="false">ROUND(SUMIF($C$36:$C$119,$A30,$G$36:$G$119)*100,0)/100</f>
        <v>0</v>
      </c>
      <c r="G30" s="23" t="n">
        <f aca="false">COUNTIFS($C$36:$C$119,$A30,$I$36:$I$119,"Capacity not set",$D$36:$D$119,"&gt;0")</f>
        <v>0</v>
      </c>
      <c r="H30" s="24" t="str">
        <f aca="false">IF($E30&gt;0,$E30&amp;" day(s) over",IF($G30&gt;0,"Can't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30" s="24"/>
    </row>
    <row r="31" customFormat="false" ht="15" hidden="false" customHeight="false" outlineLevel="0" collapsed="false">
      <c r="A31" s="20" t="n">
        <v>11</v>
      </c>
      <c r="B31" s="21" t="n">
        <f aca="false">WinStart+70</f>
        <v>46384</v>
      </c>
      <c r="C31" s="21" t="n">
        <f aca="false">WinStart+76</f>
        <v>46390</v>
      </c>
      <c r="D31" s="22" t="n">
        <f aca="false">ROUND(SUMIF($C$36:$C$119,$A31,$E$36:$E$119)*100,0)/100</f>
        <v>0</v>
      </c>
      <c r="E31" s="23" t="n">
        <f aca="false">COUNTIFS($C$36:$C$119,$A31,$I$36:$I$119,"Over capacity")</f>
        <v>0</v>
      </c>
      <c r="F31" s="22" t="n">
        <f aca="false">ROUND(SUMIF($C$36:$C$119,$A31,$G$36:$G$119)*100,0)/100</f>
        <v>0</v>
      </c>
      <c r="G31" s="23" t="n">
        <f aca="false">COUNTIFS($C$36:$C$119,$A31,$I$36:$I$119,"Capacity not set",$D$36:$D$119,"&gt;0")</f>
        <v>0</v>
      </c>
      <c r="H31" s="24" t="str">
        <f aca="false">IF($E31&gt;0,$E31&amp;" day(s) over",IF($G31&gt;0,"Can't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31" s="24"/>
    </row>
    <row r="32" customFormat="false" ht="15" hidden="false" customHeight="false" outlineLevel="0" collapsed="false">
      <c r="A32" s="20" t="n">
        <v>12</v>
      </c>
      <c r="B32" s="21" t="n">
        <f aca="false">WinStart+77</f>
        <v>46391</v>
      </c>
      <c r="C32" s="21" t="n">
        <f aca="false">WinStart+83</f>
        <v>46397</v>
      </c>
      <c r="D32" s="22" t="n">
        <f aca="false">ROUND(SUMIF($C$36:$C$119,$A32,$E$36:$E$119)*100,0)/100</f>
        <v>0</v>
      </c>
      <c r="E32" s="23" t="n">
        <f aca="false">COUNTIFS($C$36:$C$119,$A32,$I$36:$I$119,"Over capacity")</f>
        <v>0</v>
      </c>
      <c r="F32" s="22" t="n">
        <f aca="false">ROUND(SUMIF($C$36:$C$119,$A32,$G$36:$G$119)*100,0)/100</f>
        <v>0</v>
      </c>
      <c r="G32" s="23" t="n">
        <f aca="false">COUNTIFS($C$36:$C$119,$A32,$I$36:$I$119,"Capacity not set",$D$36:$D$119,"&gt;0")</f>
        <v>0</v>
      </c>
      <c r="H32" s="24" t="str">
        <f aca="false">IF($E32&gt;0,$E32&amp;" day(s) over",IF($G32&gt;0,"Can't check all",IF(AND(COUNTIF($I$36:$I$119,"Over capacity")=0,COUNTIF(Plan!$B$7:$H$7,"Not set")+(7-COUNTIF(Plan!$B$7:$H$7,"OK")-COUNTIF(Plan!$B$7:$H$7,"Closed")-COUNTIF(Plan!$B$7:$H$7,"Not set"))+COUNTIF(Customers!$H$12:$H$311,"Check details")+SUMPRODUCT(--(LEN(Customers!$A$312:$A$5000&amp;Customers!$B$312:$B$5000&amp;Customers!$C$312:$C$5000&amp;Customers!$D$312:$D$5000&amp;Customers!$E$312:$E$5000)&gt;0))=0,NOT(AND($B$10&lt;&gt;"",NOT(IF(ISNUMBER($B$10),AND($B$10=INT($B$10),$B$10&gt;=DATE(2000,1,1),$B$10&lt;=DATE(2099,12,31)),FALSE()))))),"Fits","No days over")))</f>
        <v>No days over</v>
      </c>
      <c r="I32" s="24"/>
    </row>
    <row r="34" customFormat="false" ht="15" hidden="false" customHeight="false" outlineLevel="0" collapsed="false">
      <c r="A34" s="17" t="s">
        <v>23</v>
      </c>
    </row>
    <row r="35" customFormat="false" ht="15" hidden="false" customHeight="false" outlineLevel="0" collapsed="false">
      <c r="A35" s="18" t="s">
        <v>24</v>
      </c>
      <c r="B35" s="18" t="s">
        <v>3</v>
      </c>
      <c r="C35" s="18" t="s">
        <v>18</v>
      </c>
      <c r="D35" s="18" t="s">
        <v>25</v>
      </c>
      <c r="E35" s="18" t="s">
        <v>19</v>
      </c>
      <c r="F35" s="18" t="s">
        <v>26</v>
      </c>
      <c r="G35" s="18" t="s">
        <v>21</v>
      </c>
      <c r="H35" s="18" t="s">
        <v>27</v>
      </c>
      <c r="I35" s="18" t="s">
        <v>28</v>
      </c>
    </row>
    <row r="36" customFormat="false" ht="15" hidden="false" customHeight="false" outlineLevel="0" collapsed="false">
      <c r="A36" s="21" t="n">
        <f aca="false">WinStart+0</f>
        <v>46314</v>
      </c>
      <c r="B36" s="23" t="str">
        <f aca="false">CHOOSE(WEEKDAY($A36,2),"Mon","Tue","Wed","Thu","Fri","Sat","Sun")</f>
        <v>Mon</v>
      </c>
      <c r="C36" s="23" t="n">
        <v>1</v>
      </c>
      <c r="D36" s="23" t="n">
        <f aca="false">SUMPRODUCT((Customers!$J$12:$J$311=1)*($A36&gt;=Customers!$K$12:$K$311)*(MOD($A36-Customers!$K$12:$K$311,Customers!$L$12:$L$311)=0)*($A36&lt;=Customers!$M$12:$M$311))</f>
        <v>0</v>
      </c>
      <c r="E36" s="22" t="n">
        <f aca="false">SUMPRODUCT((Customers!$J$12:$J$311=1)*($A36&gt;=Customers!$K$12:$K$311)*(MOD($A36-Customers!$K$12:$K$311,Customers!$L$12:$L$311)=0)*($A36&lt;=Customers!$M$12:$M$311)*Customers!$N$12:$N$311)/100</f>
        <v>0</v>
      </c>
      <c r="F36" s="22" t="str">
        <f aca="false">IF(OR(INDEX($B$7:$H$7,WEEKDAY($A36,2))="OK",INDEX($B$7:$H$7,WEEKDAY($A36,2))="Closed"),INDEX($B$6:$H$6,WEEKDAY($A36,2)),"")</f>
        <v/>
      </c>
      <c r="G36" s="22" t="str">
        <f aca="false">IF($F36="","",MAX(0,ROUND($E36*100,0)-ROUND($F36*100,0))/100)</f>
        <v/>
      </c>
      <c r="H36" s="22" t="str">
        <f aca="false">IF($F36="","",MAX(0,ROUND($F36*100,0)-ROUND($E36*100,0))/100)</f>
        <v/>
      </c>
      <c r="I36" s="24" t="str">
        <f aca="false">IF($F36="","Capacity not set",IF(ROUND($F36*100,0)=0,IF($D36&gt;0,"Over capacity","Closed"),IF($D36=0,"No visits",IF(ROUND($E36*100,0)&gt;ROUND($F36*100,0),"Over capacity",IF(ROUND($E36*100,0)=ROUND($F36*100,0),"Full","Room available")))))</f>
        <v>Capacity not set</v>
      </c>
    </row>
    <row r="37" customFormat="false" ht="15" hidden="false" customHeight="false" outlineLevel="0" collapsed="false">
      <c r="A37" s="21" t="n">
        <f aca="false">WinStart+1</f>
        <v>46315</v>
      </c>
      <c r="B37" s="23" t="str">
        <f aca="false">CHOOSE(WEEKDAY($A37,2),"Mon","Tue","Wed","Thu","Fri","Sat","Sun")</f>
        <v>Tue</v>
      </c>
      <c r="C37" s="23" t="n">
        <v>1</v>
      </c>
      <c r="D37" s="23" t="n">
        <f aca="false">SUMPRODUCT((Customers!$J$12:$J$311=1)*($A37&gt;=Customers!$K$12:$K$311)*(MOD($A37-Customers!$K$12:$K$311,Customers!$L$12:$L$311)=0)*($A37&lt;=Customers!$M$12:$M$311))</f>
        <v>0</v>
      </c>
      <c r="E37" s="22" t="n">
        <f aca="false">SUMPRODUCT((Customers!$J$12:$J$311=1)*($A37&gt;=Customers!$K$12:$K$311)*(MOD($A37-Customers!$K$12:$K$311,Customers!$L$12:$L$311)=0)*($A37&lt;=Customers!$M$12:$M$311)*Customers!$N$12:$N$311)/100</f>
        <v>0</v>
      </c>
      <c r="F37" s="22" t="str">
        <f aca="false">IF(OR(INDEX($B$7:$H$7,WEEKDAY($A37,2))="OK",INDEX($B$7:$H$7,WEEKDAY($A37,2))="Closed"),INDEX($B$6:$H$6,WEEKDAY($A37,2)),"")</f>
        <v/>
      </c>
      <c r="G37" s="22" t="str">
        <f aca="false">IF($F37="","",MAX(0,ROUND($E37*100,0)-ROUND($F37*100,0))/100)</f>
        <v/>
      </c>
      <c r="H37" s="22" t="str">
        <f aca="false">IF($F37="","",MAX(0,ROUND($F37*100,0)-ROUND($E37*100,0))/100)</f>
        <v/>
      </c>
      <c r="I37" s="24" t="str">
        <f aca="false">IF($F37="","Capacity not set",IF(ROUND($F37*100,0)=0,IF($D37&gt;0,"Over capacity","Closed"),IF($D37=0,"No visits",IF(ROUND($E37*100,0)&gt;ROUND($F37*100,0),"Over capacity",IF(ROUND($E37*100,0)=ROUND($F37*100,0),"Full","Room available")))))</f>
        <v>Capacity not set</v>
      </c>
    </row>
    <row r="38" customFormat="false" ht="15" hidden="false" customHeight="false" outlineLevel="0" collapsed="false">
      <c r="A38" s="21" t="n">
        <f aca="false">WinStart+2</f>
        <v>46316</v>
      </c>
      <c r="B38" s="23" t="str">
        <f aca="false">CHOOSE(WEEKDAY($A38,2),"Mon","Tue","Wed","Thu","Fri","Sat","Sun")</f>
        <v>Wed</v>
      </c>
      <c r="C38" s="23" t="n">
        <v>1</v>
      </c>
      <c r="D38" s="23" t="n">
        <f aca="false">SUMPRODUCT((Customers!$J$12:$J$311=1)*($A38&gt;=Customers!$K$12:$K$311)*(MOD($A38-Customers!$K$12:$K$311,Customers!$L$12:$L$311)=0)*($A38&lt;=Customers!$M$12:$M$311))</f>
        <v>0</v>
      </c>
      <c r="E38" s="22" t="n">
        <f aca="false">SUMPRODUCT((Customers!$J$12:$J$311=1)*($A38&gt;=Customers!$K$12:$K$311)*(MOD($A38-Customers!$K$12:$K$311,Customers!$L$12:$L$311)=0)*($A38&lt;=Customers!$M$12:$M$311)*Customers!$N$12:$N$311)/100</f>
        <v>0</v>
      </c>
      <c r="F38" s="22" t="str">
        <f aca="false">IF(OR(INDEX($B$7:$H$7,WEEKDAY($A38,2))="OK",INDEX($B$7:$H$7,WEEKDAY($A38,2))="Closed"),INDEX($B$6:$H$6,WEEKDAY($A38,2)),"")</f>
        <v/>
      </c>
      <c r="G38" s="22" t="str">
        <f aca="false">IF($F38="","",MAX(0,ROUND($E38*100,0)-ROUND($F38*100,0))/100)</f>
        <v/>
      </c>
      <c r="H38" s="22" t="str">
        <f aca="false">IF($F38="","",MAX(0,ROUND($F38*100,0)-ROUND($E38*100,0))/100)</f>
        <v/>
      </c>
      <c r="I38" s="24" t="str">
        <f aca="false">IF($F38="","Capacity not set",IF(ROUND($F38*100,0)=0,IF($D38&gt;0,"Over capacity","Closed"),IF($D38=0,"No visits",IF(ROUND($E38*100,0)&gt;ROUND($F38*100,0),"Over capacity",IF(ROUND($E38*100,0)=ROUND($F38*100,0),"Full","Room available")))))</f>
        <v>Capacity not set</v>
      </c>
    </row>
    <row r="39" customFormat="false" ht="15" hidden="false" customHeight="false" outlineLevel="0" collapsed="false">
      <c r="A39" s="21" t="n">
        <f aca="false">WinStart+3</f>
        <v>46317</v>
      </c>
      <c r="B39" s="23" t="str">
        <f aca="false">CHOOSE(WEEKDAY($A39,2),"Mon","Tue","Wed","Thu","Fri","Sat","Sun")</f>
        <v>Thu</v>
      </c>
      <c r="C39" s="23" t="n">
        <v>1</v>
      </c>
      <c r="D39" s="23" t="n">
        <f aca="false">SUMPRODUCT((Customers!$J$12:$J$311=1)*($A39&gt;=Customers!$K$12:$K$311)*(MOD($A39-Customers!$K$12:$K$311,Customers!$L$12:$L$311)=0)*($A39&lt;=Customers!$M$12:$M$311))</f>
        <v>0</v>
      </c>
      <c r="E39" s="22" t="n">
        <f aca="false">SUMPRODUCT((Customers!$J$12:$J$311=1)*($A39&gt;=Customers!$K$12:$K$311)*(MOD($A39-Customers!$K$12:$K$311,Customers!$L$12:$L$311)=0)*($A39&lt;=Customers!$M$12:$M$311)*Customers!$N$12:$N$311)/100</f>
        <v>0</v>
      </c>
      <c r="F39" s="22" t="str">
        <f aca="false">IF(OR(INDEX($B$7:$H$7,WEEKDAY($A39,2))="OK",INDEX($B$7:$H$7,WEEKDAY($A39,2))="Closed"),INDEX($B$6:$H$6,WEEKDAY($A39,2)),"")</f>
        <v/>
      </c>
      <c r="G39" s="22" t="str">
        <f aca="false">IF($F39="","",MAX(0,ROUND($E39*100,0)-ROUND($F39*100,0))/100)</f>
        <v/>
      </c>
      <c r="H39" s="22" t="str">
        <f aca="false">IF($F39="","",MAX(0,ROUND($F39*100,0)-ROUND($E39*100,0))/100)</f>
        <v/>
      </c>
      <c r="I39" s="24" t="str">
        <f aca="false">IF($F39="","Capacity not set",IF(ROUND($F39*100,0)=0,IF($D39&gt;0,"Over capacity","Closed"),IF($D39=0,"No visits",IF(ROUND($E39*100,0)&gt;ROUND($F39*100,0),"Over capacity",IF(ROUND($E39*100,0)=ROUND($F39*100,0),"Full","Room available")))))</f>
        <v>Capacity not set</v>
      </c>
    </row>
    <row r="40" customFormat="false" ht="15" hidden="false" customHeight="false" outlineLevel="0" collapsed="false">
      <c r="A40" s="21" t="n">
        <f aca="false">WinStart+4</f>
        <v>46318</v>
      </c>
      <c r="B40" s="23" t="str">
        <f aca="false">CHOOSE(WEEKDAY($A40,2),"Mon","Tue","Wed","Thu","Fri","Sat","Sun")</f>
        <v>Fri</v>
      </c>
      <c r="C40" s="23" t="n">
        <v>1</v>
      </c>
      <c r="D40" s="23" t="n">
        <f aca="false">SUMPRODUCT((Customers!$J$12:$J$311=1)*($A40&gt;=Customers!$K$12:$K$311)*(MOD($A40-Customers!$K$12:$K$311,Customers!$L$12:$L$311)=0)*($A40&lt;=Customers!$M$12:$M$311))</f>
        <v>0</v>
      </c>
      <c r="E40" s="22" t="n">
        <f aca="false">SUMPRODUCT((Customers!$J$12:$J$311=1)*($A40&gt;=Customers!$K$12:$K$311)*(MOD($A40-Customers!$K$12:$K$311,Customers!$L$12:$L$311)=0)*($A40&lt;=Customers!$M$12:$M$311)*Customers!$N$12:$N$311)/100</f>
        <v>0</v>
      </c>
      <c r="F40" s="22" t="str">
        <f aca="false">IF(OR(INDEX($B$7:$H$7,WEEKDAY($A40,2))="OK",INDEX($B$7:$H$7,WEEKDAY($A40,2))="Closed"),INDEX($B$6:$H$6,WEEKDAY($A40,2)),"")</f>
        <v/>
      </c>
      <c r="G40" s="22" t="str">
        <f aca="false">IF($F40="","",MAX(0,ROUND($E40*100,0)-ROUND($F40*100,0))/100)</f>
        <v/>
      </c>
      <c r="H40" s="22" t="str">
        <f aca="false">IF($F40="","",MAX(0,ROUND($F40*100,0)-ROUND($E40*100,0))/100)</f>
        <v/>
      </c>
      <c r="I40" s="24" t="str">
        <f aca="false">IF($F40="","Capacity not set",IF(ROUND($F40*100,0)=0,IF($D40&gt;0,"Over capacity","Closed"),IF($D40=0,"No visits",IF(ROUND($E40*100,0)&gt;ROUND($F40*100,0),"Over capacity",IF(ROUND($E40*100,0)=ROUND($F40*100,0),"Full","Room available")))))</f>
        <v>Capacity not set</v>
      </c>
    </row>
    <row r="41" customFormat="false" ht="15" hidden="false" customHeight="false" outlineLevel="0" collapsed="false">
      <c r="A41" s="21" t="n">
        <f aca="false">WinStart+5</f>
        <v>46319</v>
      </c>
      <c r="B41" s="23" t="str">
        <f aca="false">CHOOSE(WEEKDAY($A41,2),"Mon","Tue","Wed","Thu","Fri","Sat","Sun")</f>
        <v>Sat</v>
      </c>
      <c r="C41" s="23" t="n">
        <v>1</v>
      </c>
      <c r="D41" s="23" t="n">
        <f aca="false">SUMPRODUCT((Customers!$J$12:$J$311=1)*($A41&gt;=Customers!$K$12:$K$311)*(MOD($A41-Customers!$K$12:$K$311,Customers!$L$12:$L$311)=0)*($A41&lt;=Customers!$M$12:$M$311))</f>
        <v>0</v>
      </c>
      <c r="E41" s="22" t="n">
        <f aca="false">SUMPRODUCT((Customers!$J$12:$J$311=1)*($A41&gt;=Customers!$K$12:$K$311)*(MOD($A41-Customers!$K$12:$K$311,Customers!$L$12:$L$311)=0)*($A41&lt;=Customers!$M$12:$M$311)*Customers!$N$12:$N$311)/100</f>
        <v>0</v>
      </c>
      <c r="F41" s="22" t="str">
        <f aca="false">IF(OR(INDEX($B$7:$H$7,WEEKDAY($A41,2))="OK",INDEX($B$7:$H$7,WEEKDAY($A41,2))="Closed"),INDEX($B$6:$H$6,WEEKDAY($A41,2)),"")</f>
        <v/>
      </c>
      <c r="G41" s="22" t="str">
        <f aca="false">IF($F41="","",MAX(0,ROUND($E41*100,0)-ROUND($F41*100,0))/100)</f>
        <v/>
      </c>
      <c r="H41" s="22" t="str">
        <f aca="false">IF($F41="","",MAX(0,ROUND($F41*100,0)-ROUND($E41*100,0))/100)</f>
        <v/>
      </c>
      <c r="I41" s="24" t="str">
        <f aca="false">IF($F41="","Capacity not set",IF(ROUND($F41*100,0)=0,IF($D41&gt;0,"Over capacity","Closed"),IF($D41=0,"No visits",IF(ROUND($E41*100,0)&gt;ROUND($F41*100,0),"Over capacity",IF(ROUND($E41*100,0)=ROUND($F41*100,0),"Full","Room available")))))</f>
        <v>Capacity not set</v>
      </c>
    </row>
    <row r="42" customFormat="false" ht="15" hidden="false" customHeight="false" outlineLevel="0" collapsed="false">
      <c r="A42" s="25" t="n">
        <f aca="false">WinStart+6</f>
        <v>46320</v>
      </c>
      <c r="B42" s="26" t="str">
        <f aca="false">CHOOSE(WEEKDAY($A42,2),"Mon","Tue","Wed","Thu","Fri","Sat","Sun")</f>
        <v>Sun</v>
      </c>
      <c r="C42" s="26" t="n">
        <v>1</v>
      </c>
      <c r="D42" s="26" t="n">
        <f aca="false">SUMPRODUCT((Customers!$J$12:$J$311=1)*($A42&gt;=Customers!$K$12:$K$311)*(MOD($A42-Customers!$K$12:$K$311,Customers!$L$12:$L$311)=0)*($A42&lt;=Customers!$M$12:$M$311))</f>
        <v>0</v>
      </c>
      <c r="E42" s="27" t="n">
        <f aca="false">SUMPRODUCT((Customers!$J$12:$J$311=1)*($A42&gt;=Customers!$K$12:$K$311)*(MOD($A42-Customers!$K$12:$K$311,Customers!$L$12:$L$311)=0)*($A42&lt;=Customers!$M$12:$M$311)*Customers!$N$12:$N$311)/100</f>
        <v>0</v>
      </c>
      <c r="F42" s="27" t="str">
        <f aca="false">IF(OR(INDEX($B$7:$H$7,WEEKDAY($A42,2))="OK",INDEX($B$7:$H$7,WEEKDAY($A42,2))="Closed"),INDEX($B$6:$H$6,WEEKDAY($A42,2)),"")</f>
        <v/>
      </c>
      <c r="G42" s="27" t="str">
        <f aca="false">IF($F42="","",MAX(0,ROUND($E42*100,0)-ROUND($F42*100,0))/100)</f>
        <v/>
      </c>
      <c r="H42" s="27" t="str">
        <f aca="false">IF($F42="","",MAX(0,ROUND($F42*100,0)-ROUND($E42*100,0))/100)</f>
        <v/>
      </c>
      <c r="I42" s="28" t="str">
        <f aca="false">IF($F42="","Capacity not set",IF(ROUND($F42*100,0)=0,IF($D42&gt;0,"Over capacity","Closed"),IF($D42=0,"No visits",IF(ROUND($E42*100,0)&gt;ROUND($F42*100,0),"Over capacity",IF(ROUND($E42*100,0)=ROUND($F42*100,0),"Full","Room available")))))</f>
        <v>Capacity not set</v>
      </c>
    </row>
    <row r="43" customFormat="false" ht="15" hidden="false" customHeight="false" outlineLevel="0" collapsed="false">
      <c r="A43" s="21" t="n">
        <f aca="false">WinStart+7</f>
        <v>46321</v>
      </c>
      <c r="B43" s="23" t="str">
        <f aca="false">CHOOSE(WEEKDAY($A43,2),"Mon","Tue","Wed","Thu","Fri","Sat","Sun")</f>
        <v>Mon</v>
      </c>
      <c r="C43" s="23" t="n">
        <v>2</v>
      </c>
      <c r="D43" s="23" t="n">
        <f aca="false">SUMPRODUCT((Customers!$J$12:$J$311=1)*($A43&gt;=Customers!$K$12:$K$311)*(MOD($A43-Customers!$K$12:$K$311,Customers!$L$12:$L$311)=0)*($A43&lt;=Customers!$M$12:$M$311))</f>
        <v>0</v>
      </c>
      <c r="E43" s="22" t="n">
        <f aca="false">SUMPRODUCT((Customers!$J$12:$J$311=1)*($A43&gt;=Customers!$K$12:$K$311)*(MOD($A43-Customers!$K$12:$K$311,Customers!$L$12:$L$311)=0)*($A43&lt;=Customers!$M$12:$M$311)*Customers!$N$12:$N$311)/100</f>
        <v>0</v>
      </c>
      <c r="F43" s="22" t="str">
        <f aca="false">IF(OR(INDEX($B$7:$H$7,WEEKDAY($A43,2))="OK",INDEX($B$7:$H$7,WEEKDAY($A43,2))="Closed"),INDEX($B$6:$H$6,WEEKDAY($A43,2)),"")</f>
        <v/>
      </c>
      <c r="G43" s="22" t="str">
        <f aca="false">IF($F43="","",MAX(0,ROUND($E43*100,0)-ROUND($F43*100,0))/100)</f>
        <v/>
      </c>
      <c r="H43" s="22" t="str">
        <f aca="false">IF($F43="","",MAX(0,ROUND($F43*100,0)-ROUND($E43*100,0))/100)</f>
        <v/>
      </c>
      <c r="I43" s="24" t="str">
        <f aca="false">IF($F43="","Capacity not set",IF(ROUND($F43*100,0)=0,IF($D43&gt;0,"Over capacity","Closed"),IF($D43=0,"No visits",IF(ROUND($E43*100,0)&gt;ROUND($F43*100,0),"Over capacity",IF(ROUND($E43*100,0)=ROUND($F43*100,0),"Full","Room available")))))</f>
        <v>Capacity not set</v>
      </c>
    </row>
    <row r="44" customFormat="false" ht="15" hidden="false" customHeight="false" outlineLevel="0" collapsed="false">
      <c r="A44" s="21" t="n">
        <f aca="false">WinStart+8</f>
        <v>46322</v>
      </c>
      <c r="B44" s="23" t="str">
        <f aca="false">CHOOSE(WEEKDAY($A44,2),"Mon","Tue","Wed","Thu","Fri","Sat","Sun")</f>
        <v>Tue</v>
      </c>
      <c r="C44" s="23" t="n">
        <v>2</v>
      </c>
      <c r="D44" s="23" t="n">
        <f aca="false">SUMPRODUCT((Customers!$J$12:$J$311=1)*($A44&gt;=Customers!$K$12:$K$311)*(MOD($A44-Customers!$K$12:$K$311,Customers!$L$12:$L$311)=0)*($A44&lt;=Customers!$M$12:$M$311))</f>
        <v>0</v>
      </c>
      <c r="E44" s="22" t="n">
        <f aca="false">SUMPRODUCT((Customers!$J$12:$J$311=1)*($A44&gt;=Customers!$K$12:$K$311)*(MOD($A44-Customers!$K$12:$K$311,Customers!$L$12:$L$311)=0)*($A44&lt;=Customers!$M$12:$M$311)*Customers!$N$12:$N$311)/100</f>
        <v>0</v>
      </c>
      <c r="F44" s="22" t="str">
        <f aca="false">IF(OR(INDEX($B$7:$H$7,WEEKDAY($A44,2))="OK",INDEX($B$7:$H$7,WEEKDAY($A44,2))="Closed"),INDEX($B$6:$H$6,WEEKDAY($A44,2)),"")</f>
        <v/>
      </c>
      <c r="G44" s="22" t="str">
        <f aca="false">IF($F44="","",MAX(0,ROUND($E44*100,0)-ROUND($F44*100,0))/100)</f>
        <v/>
      </c>
      <c r="H44" s="22" t="str">
        <f aca="false">IF($F44="","",MAX(0,ROUND($F44*100,0)-ROUND($E44*100,0))/100)</f>
        <v/>
      </c>
      <c r="I44" s="24" t="str">
        <f aca="false">IF($F44="","Capacity not set",IF(ROUND($F44*100,0)=0,IF($D44&gt;0,"Over capacity","Closed"),IF($D44=0,"No visits",IF(ROUND($E44*100,0)&gt;ROUND($F44*100,0),"Over capacity",IF(ROUND($E44*100,0)=ROUND($F44*100,0),"Full","Room available")))))</f>
        <v>Capacity not set</v>
      </c>
    </row>
    <row r="45" customFormat="false" ht="15" hidden="false" customHeight="false" outlineLevel="0" collapsed="false">
      <c r="A45" s="21" t="n">
        <f aca="false">WinStart+9</f>
        <v>46323</v>
      </c>
      <c r="B45" s="23" t="str">
        <f aca="false">CHOOSE(WEEKDAY($A45,2),"Mon","Tue","Wed","Thu","Fri","Sat","Sun")</f>
        <v>Wed</v>
      </c>
      <c r="C45" s="23" t="n">
        <v>2</v>
      </c>
      <c r="D45" s="23" t="n">
        <f aca="false">SUMPRODUCT((Customers!$J$12:$J$311=1)*($A45&gt;=Customers!$K$12:$K$311)*(MOD($A45-Customers!$K$12:$K$311,Customers!$L$12:$L$311)=0)*($A45&lt;=Customers!$M$12:$M$311))</f>
        <v>0</v>
      </c>
      <c r="E45" s="22" t="n">
        <f aca="false">SUMPRODUCT((Customers!$J$12:$J$311=1)*($A45&gt;=Customers!$K$12:$K$311)*(MOD($A45-Customers!$K$12:$K$311,Customers!$L$12:$L$311)=0)*($A45&lt;=Customers!$M$12:$M$311)*Customers!$N$12:$N$311)/100</f>
        <v>0</v>
      </c>
      <c r="F45" s="22" t="str">
        <f aca="false">IF(OR(INDEX($B$7:$H$7,WEEKDAY($A45,2))="OK",INDEX($B$7:$H$7,WEEKDAY($A45,2))="Closed"),INDEX($B$6:$H$6,WEEKDAY($A45,2)),"")</f>
        <v/>
      </c>
      <c r="G45" s="22" t="str">
        <f aca="false">IF($F45="","",MAX(0,ROUND($E45*100,0)-ROUND($F45*100,0))/100)</f>
        <v/>
      </c>
      <c r="H45" s="22" t="str">
        <f aca="false">IF($F45="","",MAX(0,ROUND($F45*100,0)-ROUND($E45*100,0))/100)</f>
        <v/>
      </c>
      <c r="I45" s="24" t="str">
        <f aca="false">IF($F45="","Capacity not set",IF(ROUND($F45*100,0)=0,IF($D45&gt;0,"Over capacity","Closed"),IF($D45=0,"No visits",IF(ROUND($E45*100,0)&gt;ROUND($F45*100,0),"Over capacity",IF(ROUND($E45*100,0)=ROUND($F45*100,0),"Full","Room available")))))</f>
        <v>Capacity not set</v>
      </c>
    </row>
    <row r="46" customFormat="false" ht="15" hidden="false" customHeight="false" outlineLevel="0" collapsed="false">
      <c r="A46" s="21" t="n">
        <f aca="false">WinStart+10</f>
        <v>46324</v>
      </c>
      <c r="B46" s="23" t="str">
        <f aca="false">CHOOSE(WEEKDAY($A46,2),"Mon","Tue","Wed","Thu","Fri","Sat","Sun")</f>
        <v>Thu</v>
      </c>
      <c r="C46" s="23" t="n">
        <v>2</v>
      </c>
      <c r="D46" s="23" t="n">
        <f aca="false">SUMPRODUCT((Customers!$J$12:$J$311=1)*($A46&gt;=Customers!$K$12:$K$311)*(MOD($A46-Customers!$K$12:$K$311,Customers!$L$12:$L$311)=0)*($A46&lt;=Customers!$M$12:$M$311))</f>
        <v>0</v>
      </c>
      <c r="E46" s="22" t="n">
        <f aca="false">SUMPRODUCT((Customers!$J$12:$J$311=1)*($A46&gt;=Customers!$K$12:$K$311)*(MOD($A46-Customers!$K$12:$K$311,Customers!$L$12:$L$311)=0)*($A46&lt;=Customers!$M$12:$M$311)*Customers!$N$12:$N$311)/100</f>
        <v>0</v>
      </c>
      <c r="F46" s="22" t="str">
        <f aca="false">IF(OR(INDEX($B$7:$H$7,WEEKDAY($A46,2))="OK",INDEX($B$7:$H$7,WEEKDAY($A46,2))="Closed"),INDEX($B$6:$H$6,WEEKDAY($A46,2)),"")</f>
        <v/>
      </c>
      <c r="G46" s="22" t="str">
        <f aca="false">IF($F46="","",MAX(0,ROUND($E46*100,0)-ROUND($F46*100,0))/100)</f>
        <v/>
      </c>
      <c r="H46" s="22" t="str">
        <f aca="false">IF($F46="","",MAX(0,ROUND($F46*100,0)-ROUND($E46*100,0))/100)</f>
        <v/>
      </c>
      <c r="I46" s="24" t="str">
        <f aca="false">IF($F46="","Capacity not set",IF(ROUND($F46*100,0)=0,IF($D46&gt;0,"Over capacity","Closed"),IF($D46=0,"No visits",IF(ROUND($E46*100,0)&gt;ROUND($F46*100,0),"Over capacity",IF(ROUND($E46*100,0)=ROUND($F46*100,0),"Full","Room available")))))</f>
        <v>Capacity not set</v>
      </c>
    </row>
    <row r="47" customFormat="false" ht="15" hidden="false" customHeight="false" outlineLevel="0" collapsed="false">
      <c r="A47" s="21" t="n">
        <f aca="false">WinStart+11</f>
        <v>46325</v>
      </c>
      <c r="B47" s="23" t="str">
        <f aca="false">CHOOSE(WEEKDAY($A47,2),"Mon","Tue","Wed","Thu","Fri","Sat","Sun")</f>
        <v>Fri</v>
      </c>
      <c r="C47" s="23" t="n">
        <v>2</v>
      </c>
      <c r="D47" s="23" t="n">
        <f aca="false">SUMPRODUCT((Customers!$J$12:$J$311=1)*($A47&gt;=Customers!$K$12:$K$311)*(MOD($A47-Customers!$K$12:$K$311,Customers!$L$12:$L$311)=0)*($A47&lt;=Customers!$M$12:$M$311))</f>
        <v>0</v>
      </c>
      <c r="E47" s="22" t="n">
        <f aca="false">SUMPRODUCT((Customers!$J$12:$J$311=1)*($A47&gt;=Customers!$K$12:$K$311)*(MOD($A47-Customers!$K$12:$K$311,Customers!$L$12:$L$311)=0)*($A47&lt;=Customers!$M$12:$M$311)*Customers!$N$12:$N$311)/100</f>
        <v>0</v>
      </c>
      <c r="F47" s="22" t="str">
        <f aca="false">IF(OR(INDEX($B$7:$H$7,WEEKDAY($A47,2))="OK",INDEX($B$7:$H$7,WEEKDAY($A47,2))="Closed"),INDEX($B$6:$H$6,WEEKDAY($A47,2)),"")</f>
        <v/>
      </c>
      <c r="G47" s="22" t="str">
        <f aca="false">IF($F47="","",MAX(0,ROUND($E47*100,0)-ROUND($F47*100,0))/100)</f>
        <v/>
      </c>
      <c r="H47" s="22" t="str">
        <f aca="false">IF($F47="","",MAX(0,ROUND($F47*100,0)-ROUND($E47*100,0))/100)</f>
        <v/>
      </c>
      <c r="I47" s="24" t="str">
        <f aca="false">IF($F47="","Capacity not set",IF(ROUND($F47*100,0)=0,IF($D47&gt;0,"Over capacity","Closed"),IF($D47=0,"No visits",IF(ROUND($E47*100,0)&gt;ROUND($F47*100,0),"Over capacity",IF(ROUND($E47*100,0)=ROUND($F47*100,0),"Full","Room available")))))</f>
        <v>Capacity not set</v>
      </c>
    </row>
    <row r="48" customFormat="false" ht="15" hidden="false" customHeight="false" outlineLevel="0" collapsed="false">
      <c r="A48" s="21" t="n">
        <f aca="false">WinStart+12</f>
        <v>46326</v>
      </c>
      <c r="B48" s="23" t="str">
        <f aca="false">CHOOSE(WEEKDAY($A48,2),"Mon","Tue","Wed","Thu","Fri","Sat","Sun")</f>
        <v>Sat</v>
      </c>
      <c r="C48" s="23" t="n">
        <v>2</v>
      </c>
      <c r="D48" s="23" t="n">
        <f aca="false">SUMPRODUCT((Customers!$J$12:$J$311=1)*($A48&gt;=Customers!$K$12:$K$311)*(MOD($A48-Customers!$K$12:$K$311,Customers!$L$12:$L$311)=0)*($A48&lt;=Customers!$M$12:$M$311))</f>
        <v>0</v>
      </c>
      <c r="E48" s="22" t="n">
        <f aca="false">SUMPRODUCT((Customers!$J$12:$J$311=1)*($A48&gt;=Customers!$K$12:$K$311)*(MOD($A48-Customers!$K$12:$K$311,Customers!$L$12:$L$311)=0)*($A48&lt;=Customers!$M$12:$M$311)*Customers!$N$12:$N$311)/100</f>
        <v>0</v>
      </c>
      <c r="F48" s="22" t="str">
        <f aca="false">IF(OR(INDEX($B$7:$H$7,WEEKDAY($A48,2))="OK",INDEX($B$7:$H$7,WEEKDAY($A48,2))="Closed"),INDEX($B$6:$H$6,WEEKDAY($A48,2)),"")</f>
        <v/>
      </c>
      <c r="G48" s="22" t="str">
        <f aca="false">IF($F48="","",MAX(0,ROUND($E48*100,0)-ROUND($F48*100,0))/100)</f>
        <v/>
      </c>
      <c r="H48" s="22" t="str">
        <f aca="false">IF($F48="","",MAX(0,ROUND($F48*100,0)-ROUND($E48*100,0))/100)</f>
        <v/>
      </c>
      <c r="I48" s="24" t="str">
        <f aca="false">IF($F48="","Capacity not set",IF(ROUND($F48*100,0)=0,IF($D48&gt;0,"Over capacity","Closed"),IF($D48=0,"No visits",IF(ROUND($E48*100,0)&gt;ROUND($F48*100,0),"Over capacity",IF(ROUND($E48*100,0)=ROUND($F48*100,0),"Full","Room available")))))</f>
        <v>Capacity not set</v>
      </c>
    </row>
    <row r="49" customFormat="false" ht="15" hidden="false" customHeight="false" outlineLevel="0" collapsed="false">
      <c r="A49" s="25" t="n">
        <f aca="false">WinStart+13</f>
        <v>46327</v>
      </c>
      <c r="B49" s="26" t="str">
        <f aca="false">CHOOSE(WEEKDAY($A49,2),"Mon","Tue","Wed","Thu","Fri","Sat","Sun")</f>
        <v>Sun</v>
      </c>
      <c r="C49" s="26" t="n">
        <v>2</v>
      </c>
      <c r="D49" s="26" t="n">
        <f aca="false">SUMPRODUCT((Customers!$J$12:$J$311=1)*($A49&gt;=Customers!$K$12:$K$311)*(MOD($A49-Customers!$K$12:$K$311,Customers!$L$12:$L$311)=0)*($A49&lt;=Customers!$M$12:$M$311))</f>
        <v>0</v>
      </c>
      <c r="E49" s="27" t="n">
        <f aca="false">SUMPRODUCT((Customers!$J$12:$J$311=1)*($A49&gt;=Customers!$K$12:$K$311)*(MOD($A49-Customers!$K$12:$K$311,Customers!$L$12:$L$311)=0)*($A49&lt;=Customers!$M$12:$M$311)*Customers!$N$12:$N$311)/100</f>
        <v>0</v>
      </c>
      <c r="F49" s="27" t="str">
        <f aca="false">IF(OR(INDEX($B$7:$H$7,WEEKDAY($A49,2))="OK",INDEX($B$7:$H$7,WEEKDAY($A49,2))="Closed"),INDEX($B$6:$H$6,WEEKDAY($A49,2)),"")</f>
        <v/>
      </c>
      <c r="G49" s="27" t="str">
        <f aca="false">IF($F49="","",MAX(0,ROUND($E49*100,0)-ROUND($F49*100,0))/100)</f>
        <v/>
      </c>
      <c r="H49" s="27" t="str">
        <f aca="false">IF($F49="","",MAX(0,ROUND($F49*100,0)-ROUND($E49*100,0))/100)</f>
        <v/>
      </c>
      <c r="I49" s="28" t="str">
        <f aca="false">IF($F49="","Capacity not set",IF(ROUND($F49*100,0)=0,IF($D49&gt;0,"Over capacity","Closed"),IF($D49=0,"No visits",IF(ROUND($E49*100,0)&gt;ROUND($F49*100,0),"Over capacity",IF(ROUND($E49*100,0)=ROUND($F49*100,0),"Full","Room available")))))</f>
        <v>Capacity not set</v>
      </c>
    </row>
    <row r="50" customFormat="false" ht="15" hidden="false" customHeight="false" outlineLevel="0" collapsed="false">
      <c r="A50" s="21" t="n">
        <f aca="false">WinStart+14</f>
        <v>46328</v>
      </c>
      <c r="B50" s="23" t="str">
        <f aca="false">CHOOSE(WEEKDAY($A50,2),"Mon","Tue","Wed","Thu","Fri","Sat","Sun")</f>
        <v>Mon</v>
      </c>
      <c r="C50" s="23" t="n">
        <v>3</v>
      </c>
      <c r="D50" s="23" t="n">
        <f aca="false">SUMPRODUCT((Customers!$J$12:$J$311=1)*($A50&gt;=Customers!$K$12:$K$311)*(MOD($A50-Customers!$K$12:$K$311,Customers!$L$12:$L$311)=0)*($A50&lt;=Customers!$M$12:$M$311))</f>
        <v>0</v>
      </c>
      <c r="E50" s="22" t="n">
        <f aca="false">SUMPRODUCT((Customers!$J$12:$J$311=1)*($A50&gt;=Customers!$K$12:$K$311)*(MOD($A50-Customers!$K$12:$K$311,Customers!$L$12:$L$311)=0)*($A50&lt;=Customers!$M$12:$M$311)*Customers!$N$12:$N$311)/100</f>
        <v>0</v>
      </c>
      <c r="F50" s="22" t="str">
        <f aca="false">IF(OR(INDEX($B$7:$H$7,WEEKDAY($A50,2))="OK",INDEX($B$7:$H$7,WEEKDAY($A50,2))="Closed"),INDEX($B$6:$H$6,WEEKDAY($A50,2)),"")</f>
        <v/>
      </c>
      <c r="G50" s="22" t="str">
        <f aca="false">IF($F50="","",MAX(0,ROUND($E50*100,0)-ROUND($F50*100,0))/100)</f>
        <v/>
      </c>
      <c r="H50" s="22" t="str">
        <f aca="false">IF($F50="","",MAX(0,ROUND($F50*100,0)-ROUND($E50*100,0))/100)</f>
        <v/>
      </c>
      <c r="I50" s="24" t="str">
        <f aca="false">IF($F50="","Capacity not set",IF(ROUND($F50*100,0)=0,IF($D50&gt;0,"Over capacity","Closed"),IF($D50=0,"No visits",IF(ROUND($E50*100,0)&gt;ROUND($F50*100,0),"Over capacity",IF(ROUND($E50*100,0)=ROUND($F50*100,0),"Full","Room available")))))</f>
        <v>Capacity not set</v>
      </c>
    </row>
    <row r="51" customFormat="false" ht="15" hidden="false" customHeight="false" outlineLevel="0" collapsed="false">
      <c r="A51" s="21" t="n">
        <f aca="false">WinStart+15</f>
        <v>46329</v>
      </c>
      <c r="B51" s="23" t="str">
        <f aca="false">CHOOSE(WEEKDAY($A51,2),"Mon","Tue","Wed","Thu","Fri","Sat","Sun")</f>
        <v>Tue</v>
      </c>
      <c r="C51" s="23" t="n">
        <v>3</v>
      </c>
      <c r="D51" s="23" t="n">
        <f aca="false">SUMPRODUCT((Customers!$J$12:$J$311=1)*($A51&gt;=Customers!$K$12:$K$311)*(MOD($A51-Customers!$K$12:$K$311,Customers!$L$12:$L$311)=0)*($A51&lt;=Customers!$M$12:$M$311))</f>
        <v>0</v>
      </c>
      <c r="E51" s="22" t="n">
        <f aca="false">SUMPRODUCT((Customers!$J$12:$J$311=1)*($A51&gt;=Customers!$K$12:$K$311)*(MOD($A51-Customers!$K$12:$K$311,Customers!$L$12:$L$311)=0)*($A51&lt;=Customers!$M$12:$M$311)*Customers!$N$12:$N$311)/100</f>
        <v>0</v>
      </c>
      <c r="F51" s="22" t="str">
        <f aca="false">IF(OR(INDEX($B$7:$H$7,WEEKDAY($A51,2))="OK",INDEX($B$7:$H$7,WEEKDAY($A51,2))="Closed"),INDEX($B$6:$H$6,WEEKDAY($A51,2)),"")</f>
        <v/>
      </c>
      <c r="G51" s="22" t="str">
        <f aca="false">IF($F51="","",MAX(0,ROUND($E51*100,0)-ROUND($F51*100,0))/100)</f>
        <v/>
      </c>
      <c r="H51" s="22" t="str">
        <f aca="false">IF($F51="","",MAX(0,ROUND($F51*100,0)-ROUND($E51*100,0))/100)</f>
        <v/>
      </c>
      <c r="I51" s="24" t="str">
        <f aca="false">IF($F51="","Capacity not set",IF(ROUND($F51*100,0)=0,IF($D51&gt;0,"Over capacity","Closed"),IF($D51=0,"No visits",IF(ROUND($E51*100,0)&gt;ROUND($F51*100,0),"Over capacity",IF(ROUND($E51*100,0)=ROUND($F51*100,0),"Full","Room available")))))</f>
        <v>Capacity not set</v>
      </c>
    </row>
    <row r="52" customFormat="false" ht="15" hidden="false" customHeight="false" outlineLevel="0" collapsed="false">
      <c r="A52" s="21" t="n">
        <f aca="false">WinStart+16</f>
        <v>46330</v>
      </c>
      <c r="B52" s="23" t="str">
        <f aca="false">CHOOSE(WEEKDAY($A52,2),"Mon","Tue","Wed","Thu","Fri","Sat","Sun")</f>
        <v>Wed</v>
      </c>
      <c r="C52" s="23" t="n">
        <v>3</v>
      </c>
      <c r="D52" s="23" t="n">
        <f aca="false">SUMPRODUCT((Customers!$J$12:$J$311=1)*($A52&gt;=Customers!$K$12:$K$311)*(MOD($A52-Customers!$K$12:$K$311,Customers!$L$12:$L$311)=0)*($A52&lt;=Customers!$M$12:$M$311))</f>
        <v>0</v>
      </c>
      <c r="E52" s="22" t="n">
        <f aca="false">SUMPRODUCT((Customers!$J$12:$J$311=1)*($A52&gt;=Customers!$K$12:$K$311)*(MOD($A52-Customers!$K$12:$K$311,Customers!$L$12:$L$311)=0)*($A52&lt;=Customers!$M$12:$M$311)*Customers!$N$12:$N$311)/100</f>
        <v>0</v>
      </c>
      <c r="F52" s="22" t="str">
        <f aca="false">IF(OR(INDEX($B$7:$H$7,WEEKDAY($A52,2))="OK",INDEX($B$7:$H$7,WEEKDAY($A52,2))="Closed"),INDEX($B$6:$H$6,WEEKDAY($A52,2)),"")</f>
        <v/>
      </c>
      <c r="G52" s="22" t="str">
        <f aca="false">IF($F52="","",MAX(0,ROUND($E52*100,0)-ROUND($F52*100,0))/100)</f>
        <v/>
      </c>
      <c r="H52" s="22" t="str">
        <f aca="false">IF($F52="","",MAX(0,ROUND($F52*100,0)-ROUND($E52*100,0))/100)</f>
        <v/>
      </c>
      <c r="I52" s="24" t="str">
        <f aca="false">IF($F52="","Capacity not set",IF(ROUND($F52*100,0)=0,IF($D52&gt;0,"Over capacity","Closed"),IF($D52=0,"No visits",IF(ROUND($E52*100,0)&gt;ROUND($F52*100,0),"Over capacity",IF(ROUND($E52*100,0)=ROUND($F52*100,0),"Full","Room available")))))</f>
        <v>Capacity not set</v>
      </c>
    </row>
    <row r="53" customFormat="false" ht="15" hidden="false" customHeight="false" outlineLevel="0" collapsed="false">
      <c r="A53" s="21" t="n">
        <f aca="false">WinStart+17</f>
        <v>46331</v>
      </c>
      <c r="B53" s="23" t="str">
        <f aca="false">CHOOSE(WEEKDAY($A53,2),"Mon","Tue","Wed","Thu","Fri","Sat","Sun")</f>
        <v>Thu</v>
      </c>
      <c r="C53" s="23" t="n">
        <v>3</v>
      </c>
      <c r="D53" s="23" t="n">
        <f aca="false">SUMPRODUCT((Customers!$J$12:$J$311=1)*($A53&gt;=Customers!$K$12:$K$311)*(MOD($A53-Customers!$K$12:$K$311,Customers!$L$12:$L$311)=0)*($A53&lt;=Customers!$M$12:$M$311))</f>
        <v>0</v>
      </c>
      <c r="E53" s="22" t="n">
        <f aca="false">SUMPRODUCT((Customers!$J$12:$J$311=1)*($A53&gt;=Customers!$K$12:$K$311)*(MOD($A53-Customers!$K$12:$K$311,Customers!$L$12:$L$311)=0)*($A53&lt;=Customers!$M$12:$M$311)*Customers!$N$12:$N$311)/100</f>
        <v>0</v>
      </c>
      <c r="F53" s="22" t="str">
        <f aca="false">IF(OR(INDEX($B$7:$H$7,WEEKDAY($A53,2))="OK",INDEX($B$7:$H$7,WEEKDAY($A53,2))="Closed"),INDEX($B$6:$H$6,WEEKDAY($A53,2)),"")</f>
        <v/>
      </c>
      <c r="G53" s="22" t="str">
        <f aca="false">IF($F53="","",MAX(0,ROUND($E53*100,0)-ROUND($F53*100,0))/100)</f>
        <v/>
      </c>
      <c r="H53" s="22" t="str">
        <f aca="false">IF($F53="","",MAX(0,ROUND($F53*100,0)-ROUND($E53*100,0))/100)</f>
        <v/>
      </c>
      <c r="I53" s="24" t="str">
        <f aca="false">IF($F53="","Capacity not set",IF(ROUND($F53*100,0)=0,IF($D53&gt;0,"Over capacity","Closed"),IF($D53=0,"No visits",IF(ROUND($E53*100,0)&gt;ROUND($F53*100,0),"Over capacity",IF(ROUND($E53*100,0)=ROUND($F53*100,0),"Full","Room available")))))</f>
        <v>Capacity not set</v>
      </c>
    </row>
    <row r="54" customFormat="false" ht="15" hidden="false" customHeight="false" outlineLevel="0" collapsed="false">
      <c r="A54" s="21" t="n">
        <f aca="false">WinStart+18</f>
        <v>46332</v>
      </c>
      <c r="B54" s="23" t="str">
        <f aca="false">CHOOSE(WEEKDAY($A54,2),"Mon","Tue","Wed","Thu","Fri","Sat","Sun")</f>
        <v>Fri</v>
      </c>
      <c r="C54" s="23" t="n">
        <v>3</v>
      </c>
      <c r="D54" s="23" t="n">
        <f aca="false">SUMPRODUCT((Customers!$J$12:$J$311=1)*($A54&gt;=Customers!$K$12:$K$311)*(MOD($A54-Customers!$K$12:$K$311,Customers!$L$12:$L$311)=0)*($A54&lt;=Customers!$M$12:$M$311))</f>
        <v>0</v>
      </c>
      <c r="E54" s="22" t="n">
        <f aca="false">SUMPRODUCT((Customers!$J$12:$J$311=1)*($A54&gt;=Customers!$K$12:$K$311)*(MOD($A54-Customers!$K$12:$K$311,Customers!$L$12:$L$311)=0)*($A54&lt;=Customers!$M$12:$M$311)*Customers!$N$12:$N$311)/100</f>
        <v>0</v>
      </c>
      <c r="F54" s="22" t="str">
        <f aca="false">IF(OR(INDEX($B$7:$H$7,WEEKDAY($A54,2))="OK",INDEX($B$7:$H$7,WEEKDAY($A54,2))="Closed"),INDEX($B$6:$H$6,WEEKDAY($A54,2)),"")</f>
        <v/>
      </c>
      <c r="G54" s="22" t="str">
        <f aca="false">IF($F54="","",MAX(0,ROUND($E54*100,0)-ROUND($F54*100,0))/100)</f>
        <v/>
      </c>
      <c r="H54" s="22" t="str">
        <f aca="false">IF($F54="","",MAX(0,ROUND($F54*100,0)-ROUND($E54*100,0))/100)</f>
        <v/>
      </c>
      <c r="I54" s="24" t="str">
        <f aca="false">IF($F54="","Capacity not set",IF(ROUND($F54*100,0)=0,IF($D54&gt;0,"Over capacity","Closed"),IF($D54=0,"No visits",IF(ROUND($E54*100,0)&gt;ROUND($F54*100,0),"Over capacity",IF(ROUND($E54*100,0)=ROUND($F54*100,0),"Full","Room available")))))</f>
        <v>Capacity not set</v>
      </c>
    </row>
    <row r="55" customFormat="false" ht="15" hidden="false" customHeight="false" outlineLevel="0" collapsed="false">
      <c r="A55" s="21" t="n">
        <f aca="false">WinStart+19</f>
        <v>46333</v>
      </c>
      <c r="B55" s="23" t="str">
        <f aca="false">CHOOSE(WEEKDAY($A55,2),"Mon","Tue","Wed","Thu","Fri","Sat","Sun")</f>
        <v>Sat</v>
      </c>
      <c r="C55" s="23" t="n">
        <v>3</v>
      </c>
      <c r="D55" s="23" t="n">
        <f aca="false">SUMPRODUCT((Customers!$J$12:$J$311=1)*($A55&gt;=Customers!$K$12:$K$311)*(MOD($A55-Customers!$K$12:$K$311,Customers!$L$12:$L$311)=0)*($A55&lt;=Customers!$M$12:$M$311))</f>
        <v>0</v>
      </c>
      <c r="E55" s="22" t="n">
        <f aca="false">SUMPRODUCT((Customers!$J$12:$J$311=1)*($A55&gt;=Customers!$K$12:$K$311)*(MOD($A55-Customers!$K$12:$K$311,Customers!$L$12:$L$311)=0)*($A55&lt;=Customers!$M$12:$M$311)*Customers!$N$12:$N$311)/100</f>
        <v>0</v>
      </c>
      <c r="F55" s="22" t="str">
        <f aca="false">IF(OR(INDEX($B$7:$H$7,WEEKDAY($A55,2))="OK",INDEX($B$7:$H$7,WEEKDAY($A55,2))="Closed"),INDEX($B$6:$H$6,WEEKDAY($A55,2)),"")</f>
        <v/>
      </c>
      <c r="G55" s="22" t="str">
        <f aca="false">IF($F55="","",MAX(0,ROUND($E55*100,0)-ROUND($F55*100,0))/100)</f>
        <v/>
      </c>
      <c r="H55" s="22" t="str">
        <f aca="false">IF($F55="","",MAX(0,ROUND($F55*100,0)-ROUND($E55*100,0))/100)</f>
        <v/>
      </c>
      <c r="I55" s="24" t="str">
        <f aca="false">IF($F55="","Capacity not set",IF(ROUND($F55*100,0)=0,IF($D55&gt;0,"Over capacity","Closed"),IF($D55=0,"No visits",IF(ROUND($E55*100,0)&gt;ROUND($F55*100,0),"Over capacity",IF(ROUND($E55*100,0)=ROUND($F55*100,0),"Full","Room available")))))</f>
        <v>Capacity not set</v>
      </c>
    </row>
    <row r="56" customFormat="false" ht="15" hidden="false" customHeight="false" outlineLevel="0" collapsed="false">
      <c r="A56" s="25" t="n">
        <f aca="false">WinStart+20</f>
        <v>46334</v>
      </c>
      <c r="B56" s="26" t="str">
        <f aca="false">CHOOSE(WEEKDAY($A56,2),"Mon","Tue","Wed","Thu","Fri","Sat","Sun")</f>
        <v>Sun</v>
      </c>
      <c r="C56" s="26" t="n">
        <v>3</v>
      </c>
      <c r="D56" s="26" t="n">
        <f aca="false">SUMPRODUCT((Customers!$J$12:$J$311=1)*($A56&gt;=Customers!$K$12:$K$311)*(MOD($A56-Customers!$K$12:$K$311,Customers!$L$12:$L$311)=0)*($A56&lt;=Customers!$M$12:$M$311))</f>
        <v>0</v>
      </c>
      <c r="E56" s="27" t="n">
        <f aca="false">SUMPRODUCT((Customers!$J$12:$J$311=1)*($A56&gt;=Customers!$K$12:$K$311)*(MOD($A56-Customers!$K$12:$K$311,Customers!$L$12:$L$311)=0)*($A56&lt;=Customers!$M$12:$M$311)*Customers!$N$12:$N$311)/100</f>
        <v>0</v>
      </c>
      <c r="F56" s="27" t="str">
        <f aca="false">IF(OR(INDEX($B$7:$H$7,WEEKDAY($A56,2))="OK",INDEX($B$7:$H$7,WEEKDAY($A56,2))="Closed"),INDEX($B$6:$H$6,WEEKDAY($A56,2)),"")</f>
        <v/>
      </c>
      <c r="G56" s="27" t="str">
        <f aca="false">IF($F56="","",MAX(0,ROUND($E56*100,0)-ROUND($F56*100,0))/100)</f>
        <v/>
      </c>
      <c r="H56" s="27" t="str">
        <f aca="false">IF($F56="","",MAX(0,ROUND($F56*100,0)-ROUND($E56*100,0))/100)</f>
        <v/>
      </c>
      <c r="I56" s="28" t="str">
        <f aca="false">IF($F56="","Capacity not set",IF(ROUND($F56*100,0)=0,IF($D56&gt;0,"Over capacity","Closed"),IF($D56=0,"No visits",IF(ROUND($E56*100,0)&gt;ROUND($F56*100,0),"Over capacity",IF(ROUND($E56*100,0)=ROUND($F56*100,0),"Full","Room available")))))</f>
        <v>Capacity not set</v>
      </c>
    </row>
    <row r="57" customFormat="false" ht="15" hidden="false" customHeight="false" outlineLevel="0" collapsed="false">
      <c r="A57" s="21" t="n">
        <f aca="false">WinStart+21</f>
        <v>46335</v>
      </c>
      <c r="B57" s="23" t="str">
        <f aca="false">CHOOSE(WEEKDAY($A57,2),"Mon","Tue","Wed","Thu","Fri","Sat","Sun")</f>
        <v>Mon</v>
      </c>
      <c r="C57" s="23" t="n">
        <v>4</v>
      </c>
      <c r="D57" s="23" t="n">
        <f aca="false">SUMPRODUCT((Customers!$J$12:$J$311=1)*($A57&gt;=Customers!$K$12:$K$311)*(MOD($A57-Customers!$K$12:$K$311,Customers!$L$12:$L$311)=0)*($A57&lt;=Customers!$M$12:$M$311))</f>
        <v>0</v>
      </c>
      <c r="E57" s="22" t="n">
        <f aca="false">SUMPRODUCT((Customers!$J$12:$J$311=1)*($A57&gt;=Customers!$K$12:$K$311)*(MOD($A57-Customers!$K$12:$K$311,Customers!$L$12:$L$311)=0)*($A57&lt;=Customers!$M$12:$M$311)*Customers!$N$12:$N$311)/100</f>
        <v>0</v>
      </c>
      <c r="F57" s="22" t="str">
        <f aca="false">IF(OR(INDEX($B$7:$H$7,WEEKDAY($A57,2))="OK",INDEX($B$7:$H$7,WEEKDAY($A57,2))="Closed"),INDEX($B$6:$H$6,WEEKDAY($A57,2)),"")</f>
        <v/>
      </c>
      <c r="G57" s="22" t="str">
        <f aca="false">IF($F57="","",MAX(0,ROUND($E57*100,0)-ROUND($F57*100,0))/100)</f>
        <v/>
      </c>
      <c r="H57" s="22" t="str">
        <f aca="false">IF($F57="","",MAX(0,ROUND($F57*100,0)-ROUND($E57*100,0))/100)</f>
        <v/>
      </c>
      <c r="I57" s="24" t="str">
        <f aca="false">IF($F57="","Capacity not set",IF(ROUND($F57*100,0)=0,IF($D57&gt;0,"Over capacity","Closed"),IF($D57=0,"No visits",IF(ROUND($E57*100,0)&gt;ROUND($F57*100,0),"Over capacity",IF(ROUND($E57*100,0)=ROUND($F57*100,0),"Full","Room available")))))</f>
        <v>Capacity not set</v>
      </c>
    </row>
    <row r="58" customFormat="false" ht="15" hidden="false" customHeight="false" outlineLevel="0" collapsed="false">
      <c r="A58" s="21" t="n">
        <f aca="false">WinStart+22</f>
        <v>46336</v>
      </c>
      <c r="B58" s="23" t="str">
        <f aca="false">CHOOSE(WEEKDAY($A58,2),"Mon","Tue","Wed","Thu","Fri","Sat","Sun")</f>
        <v>Tue</v>
      </c>
      <c r="C58" s="23" t="n">
        <v>4</v>
      </c>
      <c r="D58" s="23" t="n">
        <f aca="false">SUMPRODUCT((Customers!$J$12:$J$311=1)*($A58&gt;=Customers!$K$12:$K$311)*(MOD($A58-Customers!$K$12:$K$311,Customers!$L$12:$L$311)=0)*($A58&lt;=Customers!$M$12:$M$311))</f>
        <v>0</v>
      </c>
      <c r="E58" s="22" t="n">
        <f aca="false">SUMPRODUCT((Customers!$J$12:$J$311=1)*($A58&gt;=Customers!$K$12:$K$311)*(MOD($A58-Customers!$K$12:$K$311,Customers!$L$12:$L$311)=0)*($A58&lt;=Customers!$M$12:$M$311)*Customers!$N$12:$N$311)/100</f>
        <v>0</v>
      </c>
      <c r="F58" s="22" t="str">
        <f aca="false">IF(OR(INDEX($B$7:$H$7,WEEKDAY($A58,2))="OK",INDEX($B$7:$H$7,WEEKDAY($A58,2))="Closed"),INDEX($B$6:$H$6,WEEKDAY($A58,2)),"")</f>
        <v/>
      </c>
      <c r="G58" s="22" t="str">
        <f aca="false">IF($F58="","",MAX(0,ROUND($E58*100,0)-ROUND($F58*100,0))/100)</f>
        <v/>
      </c>
      <c r="H58" s="22" t="str">
        <f aca="false">IF($F58="","",MAX(0,ROUND($F58*100,0)-ROUND($E58*100,0))/100)</f>
        <v/>
      </c>
      <c r="I58" s="24" t="str">
        <f aca="false">IF($F58="","Capacity not set",IF(ROUND($F58*100,0)=0,IF($D58&gt;0,"Over capacity","Closed"),IF($D58=0,"No visits",IF(ROUND($E58*100,0)&gt;ROUND($F58*100,0),"Over capacity",IF(ROUND($E58*100,0)=ROUND($F58*100,0),"Full","Room available")))))</f>
        <v>Capacity not set</v>
      </c>
    </row>
    <row r="59" customFormat="false" ht="15" hidden="false" customHeight="false" outlineLevel="0" collapsed="false">
      <c r="A59" s="21" t="n">
        <f aca="false">WinStart+23</f>
        <v>46337</v>
      </c>
      <c r="B59" s="23" t="str">
        <f aca="false">CHOOSE(WEEKDAY($A59,2),"Mon","Tue","Wed","Thu","Fri","Sat","Sun")</f>
        <v>Wed</v>
      </c>
      <c r="C59" s="23" t="n">
        <v>4</v>
      </c>
      <c r="D59" s="23" t="n">
        <f aca="false">SUMPRODUCT((Customers!$J$12:$J$311=1)*($A59&gt;=Customers!$K$12:$K$311)*(MOD($A59-Customers!$K$12:$K$311,Customers!$L$12:$L$311)=0)*($A59&lt;=Customers!$M$12:$M$311))</f>
        <v>0</v>
      </c>
      <c r="E59" s="22" t="n">
        <f aca="false">SUMPRODUCT((Customers!$J$12:$J$311=1)*($A59&gt;=Customers!$K$12:$K$311)*(MOD($A59-Customers!$K$12:$K$311,Customers!$L$12:$L$311)=0)*($A59&lt;=Customers!$M$12:$M$311)*Customers!$N$12:$N$311)/100</f>
        <v>0</v>
      </c>
      <c r="F59" s="22" t="str">
        <f aca="false">IF(OR(INDEX($B$7:$H$7,WEEKDAY($A59,2))="OK",INDEX($B$7:$H$7,WEEKDAY($A59,2))="Closed"),INDEX($B$6:$H$6,WEEKDAY($A59,2)),"")</f>
        <v/>
      </c>
      <c r="G59" s="22" t="str">
        <f aca="false">IF($F59="","",MAX(0,ROUND($E59*100,0)-ROUND($F59*100,0))/100)</f>
        <v/>
      </c>
      <c r="H59" s="22" t="str">
        <f aca="false">IF($F59="","",MAX(0,ROUND($F59*100,0)-ROUND($E59*100,0))/100)</f>
        <v/>
      </c>
      <c r="I59" s="24" t="str">
        <f aca="false">IF($F59="","Capacity not set",IF(ROUND($F59*100,0)=0,IF($D59&gt;0,"Over capacity","Closed"),IF($D59=0,"No visits",IF(ROUND($E59*100,0)&gt;ROUND($F59*100,0),"Over capacity",IF(ROUND($E59*100,0)=ROUND($F59*100,0),"Full","Room available")))))</f>
        <v>Capacity not set</v>
      </c>
    </row>
    <row r="60" customFormat="false" ht="15" hidden="false" customHeight="false" outlineLevel="0" collapsed="false">
      <c r="A60" s="21" t="n">
        <f aca="false">WinStart+24</f>
        <v>46338</v>
      </c>
      <c r="B60" s="23" t="str">
        <f aca="false">CHOOSE(WEEKDAY($A60,2),"Mon","Tue","Wed","Thu","Fri","Sat","Sun")</f>
        <v>Thu</v>
      </c>
      <c r="C60" s="23" t="n">
        <v>4</v>
      </c>
      <c r="D60" s="23" t="n">
        <f aca="false">SUMPRODUCT((Customers!$J$12:$J$311=1)*($A60&gt;=Customers!$K$12:$K$311)*(MOD($A60-Customers!$K$12:$K$311,Customers!$L$12:$L$311)=0)*($A60&lt;=Customers!$M$12:$M$311))</f>
        <v>0</v>
      </c>
      <c r="E60" s="22" t="n">
        <f aca="false">SUMPRODUCT((Customers!$J$12:$J$311=1)*($A60&gt;=Customers!$K$12:$K$311)*(MOD($A60-Customers!$K$12:$K$311,Customers!$L$12:$L$311)=0)*($A60&lt;=Customers!$M$12:$M$311)*Customers!$N$12:$N$311)/100</f>
        <v>0</v>
      </c>
      <c r="F60" s="22" t="str">
        <f aca="false">IF(OR(INDEX($B$7:$H$7,WEEKDAY($A60,2))="OK",INDEX($B$7:$H$7,WEEKDAY($A60,2))="Closed"),INDEX($B$6:$H$6,WEEKDAY($A60,2)),"")</f>
        <v/>
      </c>
      <c r="G60" s="22" t="str">
        <f aca="false">IF($F60="","",MAX(0,ROUND($E60*100,0)-ROUND($F60*100,0))/100)</f>
        <v/>
      </c>
      <c r="H60" s="22" t="str">
        <f aca="false">IF($F60="","",MAX(0,ROUND($F60*100,0)-ROUND($E60*100,0))/100)</f>
        <v/>
      </c>
      <c r="I60" s="24" t="str">
        <f aca="false">IF($F60="","Capacity not set",IF(ROUND($F60*100,0)=0,IF($D60&gt;0,"Over capacity","Closed"),IF($D60=0,"No visits",IF(ROUND($E60*100,0)&gt;ROUND($F60*100,0),"Over capacity",IF(ROUND($E60*100,0)=ROUND($F60*100,0),"Full","Room available")))))</f>
        <v>Capacity not set</v>
      </c>
    </row>
    <row r="61" customFormat="false" ht="15" hidden="false" customHeight="false" outlineLevel="0" collapsed="false">
      <c r="A61" s="21" t="n">
        <f aca="false">WinStart+25</f>
        <v>46339</v>
      </c>
      <c r="B61" s="23" t="str">
        <f aca="false">CHOOSE(WEEKDAY($A61,2),"Mon","Tue","Wed","Thu","Fri","Sat","Sun")</f>
        <v>Fri</v>
      </c>
      <c r="C61" s="23" t="n">
        <v>4</v>
      </c>
      <c r="D61" s="23" t="n">
        <f aca="false">SUMPRODUCT((Customers!$J$12:$J$311=1)*($A61&gt;=Customers!$K$12:$K$311)*(MOD($A61-Customers!$K$12:$K$311,Customers!$L$12:$L$311)=0)*($A61&lt;=Customers!$M$12:$M$311))</f>
        <v>0</v>
      </c>
      <c r="E61" s="22" t="n">
        <f aca="false">SUMPRODUCT((Customers!$J$12:$J$311=1)*($A61&gt;=Customers!$K$12:$K$311)*(MOD($A61-Customers!$K$12:$K$311,Customers!$L$12:$L$311)=0)*($A61&lt;=Customers!$M$12:$M$311)*Customers!$N$12:$N$311)/100</f>
        <v>0</v>
      </c>
      <c r="F61" s="22" t="str">
        <f aca="false">IF(OR(INDEX($B$7:$H$7,WEEKDAY($A61,2))="OK",INDEX($B$7:$H$7,WEEKDAY($A61,2))="Closed"),INDEX($B$6:$H$6,WEEKDAY($A61,2)),"")</f>
        <v/>
      </c>
      <c r="G61" s="22" t="str">
        <f aca="false">IF($F61="","",MAX(0,ROUND($E61*100,0)-ROUND($F61*100,0))/100)</f>
        <v/>
      </c>
      <c r="H61" s="22" t="str">
        <f aca="false">IF($F61="","",MAX(0,ROUND($F61*100,0)-ROUND($E61*100,0))/100)</f>
        <v/>
      </c>
      <c r="I61" s="24" t="str">
        <f aca="false">IF($F61="","Capacity not set",IF(ROUND($F61*100,0)=0,IF($D61&gt;0,"Over capacity","Closed"),IF($D61=0,"No visits",IF(ROUND($E61*100,0)&gt;ROUND($F61*100,0),"Over capacity",IF(ROUND($E61*100,0)=ROUND($F61*100,0),"Full","Room available")))))</f>
        <v>Capacity not set</v>
      </c>
    </row>
    <row r="62" customFormat="false" ht="15" hidden="false" customHeight="false" outlineLevel="0" collapsed="false">
      <c r="A62" s="21" t="n">
        <f aca="false">WinStart+26</f>
        <v>46340</v>
      </c>
      <c r="B62" s="23" t="str">
        <f aca="false">CHOOSE(WEEKDAY($A62,2),"Mon","Tue","Wed","Thu","Fri","Sat","Sun")</f>
        <v>Sat</v>
      </c>
      <c r="C62" s="23" t="n">
        <v>4</v>
      </c>
      <c r="D62" s="23" t="n">
        <f aca="false">SUMPRODUCT((Customers!$J$12:$J$311=1)*($A62&gt;=Customers!$K$12:$K$311)*(MOD($A62-Customers!$K$12:$K$311,Customers!$L$12:$L$311)=0)*($A62&lt;=Customers!$M$12:$M$311))</f>
        <v>0</v>
      </c>
      <c r="E62" s="22" t="n">
        <f aca="false">SUMPRODUCT((Customers!$J$12:$J$311=1)*($A62&gt;=Customers!$K$12:$K$311)*(MOD($A62-Customers!$K$12:$K$311,Customers!$L$12:$L$311)=0)*($A62&lt;=Customers!$M$12:$M$311)*Customers!$N$12:$N$311)/100</f>
        <v>0</v>
      </c>
      <c r="F62" s="22" t="str">
        <f aca="false">IF(OR(INDEX($B$7:$H$7,WEEKDAY($A62,2))="OK",INDEX($B$7:$H$7,WEEKDAY($A62,2))="Closed"),INDEX($B$6:$H$6,WEEKDAY($A62,2)),"")</f>
        <v/>
      </c>
      <c r="G62" s="22" t="str">
        <f aca="false">IF($F62="","",MAX(0,ROUND($E62*100,0)-ROUND($F62*100,0))/100)</f>
        <v/>
      </c>
      <c r="H62" s="22" t="str">
        <f aca="false">IF($F62="","",MAX(0,ROUND($F62*100,0)-ROUND($E62*100,0))/100)</f>
        <v/>
      </c>
      <c r="I62" s="24" t="str">
        <f aca="false">IF($F62="","Capacity not set",IF(ROUND($F62*100,0)=0,IF($D62&gt;0,"Over capacity","Closed"),IF($D62=0,"No visits",IF(ROUND($E62*100,0)&gt;ROUND($F62*100,0),"Over capacity",IF(ROUND($E62*100,0)=ROUND($F62*100,0),"Full","Room available")))))</f>
        <v>Capacity not set</v>
      </c>
    </row>
    <row r="63" customFormat="false" ht="15" hidden="false" customHeight="false" outlineLevel="0" collapsed="false">
      <c r="A63" s="25" t="n">
        <f aca="false">WinStart+27</f>
        <v>46341</v>
      </c>
      <c r="B63" s="26" t="str">
        <f aca="false">CHOOSE(WEEKDAY($A63,2),"Mon","Tue","Wed","Thu","Fri","Sat","Sun")</f>
        <v>Sun</v>
      </c>
      <c r="C63" s="26" t="n">
        <v>4</v>
      </c>
      <c r="D63" s="26" t="n">
        <f aca="false">SUMPRODUCT((Customers!$J$12:$J$311=1)*($A63&gt;=Customers!$K$12:$K$311)*(MOD($A63-Customers!$K$12:$K$311,Customers!$L$12:$L$311)=0)*($A63&lt;=Customers!$M$12:$M$311))</f>
        <v>0</v>
      </c>
      <c r="E63" s="27" t="n">
        <f aca="false">SUMPRODUCT((Customers!$J$12:$J$311=1)*($A63&gt;=Customers!$K$12:$K$311)*(MOD($A63-Customers!$K$12:$K$311,Customers!$L$12:$L$311)=0)*($A63&lt;=Customers!$M$12:$M$311)*Customers!$N$12:$N$311)/100</f>
        <v>0</v>
      </c>
      <c r="F63" s="27" t="str">
        <f aca="false">IF(OR(INDEX($B$7:$H$7,WEEKDAY($A63,2))="OK",INDEX($B$7:$H$7,WEEKDAY($A63,2))="Closed"),INDEX($B$6:$H$6,WEEKDAY($A63,2)),"")</f>
        <v/>
      </c>
      <c r="G63" s="27" t="str">
        <f aca="false">IF($F63="","",MAX(0,ROUND($E63*100,0)-ROUND($F63*100,0))/100)</f>
        <v/>
      </c>
      <c r="H63" s="27" t="str">
        <f aca="false">IF($F63="","",MAX(0,ROUND($F63*100,0)-ROUND($E63*100,0))/100)</f>
        <v/>
      </c>
      <c r="I63" s="28" t="str">
        <f aca="false">IF($F63="","Capacity not set",IF(ROUND($F63*100,0)=0,IF($D63&gt;0,"Over capacity","Closed"),IF($D63=0,"No visits",IF(ROUND($E63*100,0)&gt;ROUND($F63*100,0),"Over capacity",IF(ROUND($E63*100,0)=ROUND($F63*100,0),"Full","Room available")))))</f>
        <v>Capacity not set</v>
      </c>
    </row>
    <row r="64" customFormat="false" ht="15" hidden="false" customHeight="false" outlineLevel="0" collapsed="false">
      <c r="A64" s="21" t="n">
        <f aca="false">WinStart+28</f>
        <v>46342</v>
      </c>
      <c r="B64" s="23" t="str">
        <f aca="false">CHOOSE(WEEKDAY($A64,2),"Mon","Tue","Wed","Thu","Fri","Sat","Sun")</f>
        <v>Mon</v>
      </c>
      <c r="C64" s="23" t="n">
        <v>5</v>
      </c>
      <c r="D64" s="23" t="n">
        <f aca="false">SUMPRODUCT((Customers!$J$12:$J$311=1)*($A64&gt;=Customers!$K$12:$K$311)*(MOD($A64-Customers!$K$12:$K$311,Customers!$L$12:$L$311)=0)*($A64&lt;=Customers!$M$12:$M$311))</f>
        <v>0</v>
      </c>
      <c r="E64" s="22" t="n">
        <f aca="false">SUMPRODUCT((Customers!$J$12:$J$311=1)*($A64&gt;=Customers!$K$12:$K$311)*(MOD($A64-Customers!$K$12:$K$311,Customers!$L$12:$L$311)=0)*($A64&lt;=Customers!$M$12:$M$311)*Customers!$N$12:$N$311)/100</f>
        <v>0</v>
      </c>
      <c r="F64" s="22" t="str">
        <f aca="false">IF(OR(INDEX($B$7:$H$7,WEEKDAY($A64,2))="OK",INDEX($B$7:$H$7,WEEKDAY($A64,2))="Closed"),INDEX($B$6:$H$6,WEEKDAY($A64,2)),"")</f>
        <v/>
      </c>
      <c r="G64" s="22" t="str">
        <f aca="false">IF($F64="","",MAX(0,ROUND($E64*100,0)-ROUND($F64*100,0))/100)</f>
        <v/>
      </c>
      <c r="H64" s="22" t="str">
        <f aca="false">IF($F64="","",MAX(0,ROUND($F64*100,0)-ROUND($E64*100,0))/100)</f>
        <v/>
      </c>
      <c r="I64" s="24" t="str">
        <f aca="false">IF($F64="","Capacity not set",IF(ROUND($F64*100,0)=0,IF($D64&gt;0,"Over capacity","Closed"),IF($D64=0,"No visits",IF(ROUND($E64*100,0)&gt;ROUND($F64*100,0),"Over capacity",IF(ROUND($E64*100,0)=ROUND($F64*100,0),"Full","Room available")))))</f>
        <v>Capacity not set</v>
      </c>
    </row>
    <row r="65" customFormat="false" ht="15" hidden="false" customHeight="false" outlineLevel="0" collapsed="false">
      <c r="A65" s="21" t="n">
        <f aca="false">WinStart+29</f>
        <v>46343</v>
      </c>
      <c r="B65" s="23" t="str">
        <f aca="false">CHOOSE(WEEKDAY($A65,2),"Mon","Tue","Wed","Thu","Fri","Sat","Sun")</f>
        <v>Tue</v>
      </c>
      <c r="C65" s="23" t="n">
        <v>5</v>
      </c>
      <c r="D65" s="23" t="n">
        <f aca="false">SUMPRODUCT((Customers!$J$12:$J$311=1)*($A65&gt;=Customers!$K$12:$K$311)*(MOD($A65-Customers!$K$12:$K$311,Customers!$L$12:$L$311)=0)*($A65&lt;=Customers!$M$12:$M$311))</f>
        <v>0</v>
      </c>
      <c r="E65" s="22" t="n">
        <f aca="false">SUMPRODUCT((Customers!$J$12:$J$311=1)*($A65&gt;=Customers!$K$12:$K$311)*(MOD($A65-Customers!$K$12:$K$311,Customers!$L$12:$L$311)=0)*($A65&lt;=Customers!$M$12:$M$311)*Customers!$N$12:$N$311)/100</f>
        <v>0</v>
      </c>
      <c r="F65" s="22" t="str">
        <f aca="false">IF(OR(INDEX($B$7:$H$7,WEEKDAY($A65,2))="OK",INDEX($B$7:$H$7,WEEKDAY($A65,2))="Closed"),INDEX($B$6:$H$6,WEEKDAY($A65,2)),"")</f>
        <v/>
      </c>
      <c r="G65" s="22" t="str">
        <f aca="false">IF($F65="","",MAX(0,ROUND($E65*100,0)-ROUND($F65*100,0))/100)</f>
        <v/>
      </c>
      <c r="H65" s="22" t="str">
        <f aca="false">IF($F65="","",MAX(0,ROUND($F65*100,0)-ROUND($E65*100,0))/100)</f>
        <v/>
      </c>
      <c r="I65" s="24" t="str">
        <f aca="false">IF($F65="","Capacity not set",IF(ROUND($F65*100,0)=0,IF($D65&gt;0,"Over capacity","Closed"),IF($D65=0,"No visits",IF(ROUND($E65*100,0)&gt;ROUND($F65*100,0),"Over capacity",IF(ROUND($E65*100,0)=ROUND($F65*100,0),"Full","Room available")))))</f>
        <v>Capacity not set</v>
      </c>
    </row>
    <row r="66" customFormat="false" ht="15" hidden="false" customHeight="false" outlineLevel="0" collapsed="false">
      <c r="A66" s="21" t="n">
        <f aca="false">WinStart+30</f>
        <v>46344</v>
      </c>
      <c r="B66" s="23" t="str">
        <f aca="false">CHOOSE(WEEKDAY($A66,2),"Mon","Tue","Wed","Thu","Fri","Sat","Sun")</f>
        <v>Wed</v>
      </c>
      <c r="C66" s="23" t="n">
        <v>5</v>
      </c>
      <c r="D66" s="23" t="n">
        <f aca="false">SUMPRODUCT((Customers!$J$12:$J$311=1)*($A66&gt;=Customers!$K$12:$K$311)*(MOD($A66-Customers!$K$12:$K$311,Customers!$L$12:$L$311)=0)*($A66&lt;=Customers!$M$12:$M$311))</f>
        <v>0</v>
      </c>
      <c r="E66" s="22" t="n">
        <f aca="false">SUMPRODUCT((Customers!$J$12:$J$311=1)*($A66&gt;=Customers!$K$12:$K$311)*(MOD($A66-Customers!$K$12:$K$311,Customers!$L$12:$L$311)=0)*($A66&lt;=Customers!$M$12:$M$311)*Customers!$N$12:$N$311)/100</f>
        <v>0</v>
      </c>
      <c r="F66" s="22" t="str">
        <f aca="false">IF(OR(INDEX($B$7:$H$7,WEEKDAY($A66,2))="OK",INDEX($B$7:$H$7,WEEKDAY($A66,2))="Closed"),INDEX($B$6:$H$6,WEEKDAY($A66,2)),"")</f>
        <v/>
      </c>
      <c r="G66" s="22" t="str">
        <f aca="false">IF($F66="","",MAX(0,ROUND($E66*100,0)-ROUND($F66*100,0))/100)</f>
        <v/>
      </c>
      <c r="H66" s="22" t="str">
        <f aca="false">IF($F66="","",MAX(0,ROUND($F66*100,0)-ROUND($E66*100,0))/100)</f>
        <v/>
      </c>
      <c r="I66" s="24" t="str">
        <f aca="false">IF($F66="","Capacity not set",IF(ROUND($F66*100,0)=0,IF($D66&gt;0,"Over capacity","Closed"),IF($D66=0,"No visits",IF(ROUND($E66*100,0)&gt;ROUND($F66*100,0),"Over capacity",IF(ROUND($E66*100,0)=ROUND($F66*100,0),"Full","Room available")))))</f>
        <v>Capacity not set</v>
      </c>
    </row>
    <row r="67" customFormat="false" ht="15" hidden="false" customHeight="false" outlineLevel="0" collapsed="false">
      <c r="A67" s="21" t="n">
        <f aca="false">WinStart+31</f>
        <v>46345</v>
      </c>
      <c r="B67" s="23" t="str">
        <f aca="false">CHOOSE(WEEKDAY($A67,2),"Mon","Tue","Wed","Thu","Fri","Sat","Sun")</f>
        <v>Thu</v>
      </c>
      <c r="C67" s="23" t="n">
        <v>5</v>
      </c>
      <c r="D67" s="23" t="n">
        <f aca="false">SUMPRODUCT((Customers!$J$12:$J$311=1)*($A67&gt;=Customers!$K$12:$K$311)*(MOD($A67-Customers!$K$12:$K$311,Customers!$L$12:$L$311)=0)*($A67&lt;=Customers!$M$12:$M$311))</f>
        <v>0</v>
      </c>
      <c r="E67" s="22" t="n">
        <f aca="false">SUMPRODUCT((Customers!$J$12:$J$311=1)*($A67&gt;=Customers!$K$12:$K$311)*(MOD($A67-Customers!$K$12:$K$311,Customers!$L$12:$L$311)=0)*($A67&lt;=Customers!$M$12:$M$311)*Customers!$N$12:$N$311)/100</f>
        <v>0</v>
      </c>
      <c r="F67" s="22" t="str">
        <f aca="false">IF(OR(INDEX($B$7:$H$7,WEEKDAY($A67,2))="OK",INDEX($B$7:$H$7,WEEKDAY($A67,2))="Closed"),INDEX($B$6:$H$6,WEEKDAY($A67,2)),"")</f>
        <v/>
      </c>
      <c r="G67" s="22" t="str">
        <f aca="false">IF($F67="","",MAX(0,ROUND($E67*100,0)-ROUND($F67*100,0))/100)</f>
        <v/>
      </c>
      <c r="H67" s="22" t="str">
        <f aca="false">IF($F67="","",MAX(0,ROUND($F67*100,0)-ROUND($E67*100,0))/100)</f>
        <v/>
      </c>
      <c r="I67" s="24" t="str">
        <f aca="false">IF($F67="","Capacity not set",IF(ROUND($F67*100,0)=0,IF($D67&gt;0,"Over capacity","Closed"),IF($D67=0,"No visits",IF(ROUND($E67*100,0)&gt;ROUND($F67*100,0),"Over capacity",IF(ROUND($E67*100,0)=ROUND($F67*100,0),"Full","Room available")))))</f>
        <v>Capacity not set</v>
      </c>
    </row>
    <row r="68" customFormat="false" ht="15" hidden="false" customHeight="false" outlineLevel="0" collapsed="false">
      <c r="A68" s="21" t="n">
        <f aca="false">WinStart+32</f>
        <v>46346</v>
      </c>
      <c r="B68" s="23" t="str">
        <f aca="false">CHOOSE(WEEKDAY($A68,2),"Mon","Tue","Wed","Thu","Fri","Sat","Sun")</f>
        <v>Fri</v>
      </c>
      <c r="C68" s="23" t="n">
        <v>5</v>
      </c>
      <c r="D68" s="23" t="n">
        <f aca="false">SUMPRODUCT((Customers!$J$12:$J$311=1)*($A68&gt;=Customers!$K$12:$K$311)*(MOD($A68-Customers!$K$12:$K$311,Customers!$L$12:$L$311)=0)*($A68&lt;=Customers!$M$12:$M$311))</f>
        <v>0</v>
      </c>
      <c r="E68" s="22" t="n">
        <f aca="false">SUMPRODUCT((Customers!$J$12:$J$311=1)*($A68&gt;=Customers!$K$12:$K$311)*(MOD($A68-Customers!$K$12:$K$311,Customers!$L$12:$L$311)=0)*($A68&lt;=Customers!$M$12:$M$311)*Customers!$N$12:$N$311)/100</f>
        <v>0</v>
      </c>
      <c r="F68" s="22" t="str">
        <f aca="false">IF(OR(INDEX($B$7:$H$7,WEEKDAY($A68,2))="OK",INDEX($B$7:$H$7,WEEKDAY($A68,2))="Closed"),INDEX($B$6:$H$6,WEEKDAY($A68,2)),"")</f>
        <v/>
      </c>
      <c r="G68" s="22" t="str">
        <f aca="false">IF($F68="","",MAX(0,ROUND($E68*100,0)-ROUND($F68*100,0))/100)</f>
        <v/>
      </c>
      <c r="H68" s="22" t="str">
        <f aca="false">IF($F68="","",MAX(0,ROUND($F68*100,0)-ROUND($E68*100,0))/100)</f>
        <v/>
      </c>
      <c r="I68" s="24" t="str">
        <f aca="false">IF($F68="","Capacity not set",IF(ROUND($F68*100,0)=0,IF($D68&gt;0,"Over capacity","Closed"),IF($D68=0,"No visits",IF(ROUND($E68*100,0)&gt;ROUND($F68*100,0),"Over capacity",IF(ROUND($E68*100,0)=ROUND($F68*100,0),"Full","Room available")))))</f>
        <v>Capacity not set</v>
      </c>
    </row>
    <row r="69" customFormat="false" ht="15" hidden="false" customHeight="false" outlineLevel="0" collapsed="false">
      <c r="A69" s="21" t="n">
        <f aca="false">WinStart+33</f>
        <v>46347</v>
      </c>
      <c r="B69" s="23" t="str">
        <f aca="false">CHOOSE(WEEKDAY($A69,2),"Mon","Tue","Wed","Thu","Fri","Sat","Sun")</f>
        <v>Sat</v>
      </c>
      <c r="C69" s="23" t="n">
        <v>5</v>
      </c>
      <c r="D69" s="23" t="n">
        <f aca="false">SUMPRODUCT((Customers!$J$12:$J$311=1)*($A69&gt;=Customers!$K$12:$K$311)*(MOD($A69-Customers!$K$12:$K$311,Customers!$L$12:$L$311)=0)*($A69&lt;=Customers!$M$12:$M$311))</f>
        <v>0</v>
      </c>
      <c r="E69" s="22" t="n">
        <f aca="false">SUMPRODUCT((Customers!$J$12:$J$311=1)*($A69&gt;=Customers!$K$12:$K$311)*(MOD($A69-Customers!$K$12:$K$311,Customers!$L$12:$L$311)=0)*($A69&lt;=Customers!$M$12:$M$311)*Customers!$N$12:$N$311)/100</f>
        <v>0</v>
      </c>
      <c r="F69" s="22" t="str">
        <f aca="false">IF(OR(INDEX($B$7:$H$7,WEEKDAY($A69,2))="OK",INDEX($B$7:$H$7,WEEKDAY($A69,2))="Closed"),INDEX($B$6:$H$6,WEEKDAY($A69,2)),"")</f>
        <v/>
      </c>
      <c r="G69" s="22" t="str">
        <f aca="false">IF($F69="","",MAX(0,ROUND($E69*100,0)-ROUND($F69*100,0))/100)</f>
        <v/>
      </c>
      <c r="H69" s="22" t="str">
        <f aca="false">IF($F69="","",MAX(0,ROUND($F69*100,0)-ROUND($E69*100,0))/100)</f>
        <v/>
      </c>
      <c r="I69" s="24" t="str">
        <f aca="false">IF($F69="","Capacity not set",IF(ROUND($F69*100,0)=0,IF($D69&gt;0,"Over capacity","Closed"),IF($D69=0,"No visits",IF(ROUND($E69*100,0)&gt;ROUND($F69*100,0),"Over capacity",IF(ROUND($E69*100,0)=ROUND($F69*100,0),"Full","Room available")))))</f>
        <v>Capacity not set</v>
      </c>
    </row>
    <row r="70" customFormat="false" ht="15" hidden="false" customHeight="false" outlineLevel="0" collapsed="false">
      <c r="A70" s="25" t="n">
        <f aca="false">WinStart+34</f>
        <v>46348</v>
      </c>
      <c r="B70" s="26" t="str">
        <f aca="false">CHOOSE(WEEKDAY($A70,2),"Mon","Tue","Wed","Thu","Fri","Sat","Sun")</f>
        <v>Sun</v>
      </c>
      <c r="C70" s="26" t="n">
        <v>5</v>
      </c>
      <c r="D70" s="26" t="n">
        <f aca="false">SUMPRODUCT((Customers!$J$12:$J$311=1)*($A70&gt;=Customers!$K$12:$K$311)*(MOD($A70-Customers!$K$12:$K$311,Customers!$L$12:$L$311)=0)*($A70&lt;=Customers!$M$12:$M$311))</f>
        <v>0</v>
      </c>
      <c r="E70" s="27" t="n">
        <f aca="false">SUMPRODUCT((Customers!$J$12:$J$311=1)*($A70&gt;=Customers!$K$12:$K$311)*(MOD($A70-Customers!$K$12:$K$311,Customers!$L$12:$L$311)=0)*($A70&lt;=Customers!$M$12:$M$311)*Customers!$N$12:$N$311)/100</f>
        <v>0</v>
      </c>
      <c r="F70" s="27" t="str">
        <f aca="false">IF(OR(INDEX($B$7:$H$7,WEEKDAY($A70,2))="OK",INDEX($B$7:$H$7,WEEKDAY($A70,2))="Closed"),INDEX($B$6:$H$6,WEEKDAY($A70,2)),"")</f>
        <v/>
      </c>
      <c r="G70" s="27" t="str">
        <f aca="false">IF($F70="","",MAX(0,ROUND($E70*100,0)-ROUND($F70*100,0))/100)</f>
        <v/>
      </c>
      <c r="H70" s="27" t="str">
        <f aca="false">IF($F70="","",MAX(0,ROUND($F70*100,0)-ROUND($E70*100,0))/100)</f>
        <v/>
      </c>
      <c r="I70" s="28" t="str">
        <f aca="false">IF($F70="","Capacity not set",IF(ROUND($F70*100,0)=0,IF($D70&gt;0,"Over capacity","Closed"),IF($D70=0,"No visits",IF(ROUND($E70*100,0)&gt;ROUND($F70*100,0),"Over capacity",IF(ROUND($E70*100,0)=ROUND($F70*100,0),"Full","Room available")))))</f>
        <v>Capacity not set</v>
      </c>
    </row>
    <row r="71" customFormat="false" ht="15" hidden="false" customHeight="false" outlineLevel="0" collapsed="false">
      <c r="A71" s="21" t="n">
        <f aca="false">WinStart+35</f>
        <v>46349</v>
      </c>
      <c r="B71" s="23" t="str">
        <f aca="false">CHOOSE(WEEKDAY($A71,2),"Mon","Tue","Wed","Thu","Fri","Sat","Sun")</f>
        <v>Mon</v>
      </c>
      <c r="C71" s="23" t="n">
        <v>6</v>
      </c>
      <c r="D71" s="23" t="n">
        <f aca="false">SUMPRODUCT((Customers!$J$12:$J$311=1)*($A71&gt;=Customers!$K$12:$K$311)*(MOD($A71-Customers!$K$12:$K$311,Customers!$L$12:$L$311)=0)*($A71&lt;=Customers!$M$12:$M$311))</f>
        <v>0</v>
      </c>
      <c r="E71" s="22" t="n">
        <f aca="false">SUMPRODUCT((Customers!$J$12:$J$311=1)*($A71&gt;=Customers!$K$12:$K$311)*(MOD($A71-Customers!$K$12:$K$311,Customers!$L$12:$L$311)=0)*($A71&lt;=Customers!$M$12:$M$311)*Customers!$N$12:$N$311)/100</f>
        <v>0</v>
      </c>
      <c r="F71" s="22" t="str">
        <f aca="false">IF(OR(INDEX($B$7:$H$7,WEEKDAY($A71,2))="OK",INDEX($B$7:$H$7,WEEKDAY($A71,2))="Closed"),INDEX($B$6:$H$6,WEEKDAY($A71,2)),"")</f>
        <v/>
      </c>
      <c r="G71" s="22" t="str">
        <f aca="false">IF($F71="","",MAX(0,ROUND($E71*100,0)-ROUND($F71*100,0))/100)</f>
        <v/>
      </c>
      <c r="H71" s="22" t="str">
        <f aca="false">IF($F71="","",MAX(0,ROUND($F71*100,0)-ROUND($E71*100,0))/100)</f>
        <v/>
      </c>
      <c r="I71" s="24" t="str">
        <f aca="false">IF($F71="","Capacity not set",IF(ROUND($F71*100,0)=0,IF($D71&gt;0,"Over capacity","Closed"),IF($D71=0,"No visits",IF(ROUND($E71*100,0)&gt;ROUND($F71*100,0),"Over capacity",IF(ROUND($E71*100,0)=ROUND($F71*100,0),"Full","Room available")))))</f>
        <v>Capacity not set</v>
      </c>
    </row>
    <row r="72" customFormat="false" ht="15" hidden="false" customHeight="false" outlineLevel="0" collapsed="false">
      <c r="A72" s="21" t="n">
        <f aca="false">WinStart+36</f>
        <v>46350</v>
      </c>
      <c r="B72" s="23" t="str">
        <f aca="false">CHOOSE(WEEKDAY($A72,2),"Mon","Tue","Wed","Thu","Fri","Sat","Sun")</f>
        <v>Tue</v>
      </c>
      <c r="C72" s="23" t="n">
        <v>6</v>
      </c>
      <c r="D72" s="23" t="n">
        <f aca="false">SUMPRODUCT((Customers!$J$12:$J$311=1)*($A72&gt;=Customers!$K$12:$K$311)*(MOD($A72-Customers!$K$12:$K$311,Customers!$L$12:$L$311)=0)*($A72&lt;=Customers!$M$12:$M$311))</f>
        <v>0</v>
      </c>
      <c r="E72" s="22" t="n">
        <f aca="false">SUMPRODUCT((Customers!$J$12:$J$311=1)*($A72&gt;=Customers!$K$12:$K$311)*(MOD($A72-Customers!$K$12:$K$311,Customers!$L$12:$L$311)=0)*($A72&lt;=Customers!$M$12:$M$311)*Customers!$N$12:$N$311)/100</f>
        <v>0</v>
      </c>
      <c r="F72" s="22" t="str">
        <f aca="false">IF(OR(INDEX($B$7:$H$7,WEEKDAY($A72,2))="OK",INDEX($B$7:$H$7,WEEKDAY($A72,2))="Closed"),INDEX($B$6:$H$6,WEEKDAY($A72,2)),"")</f>
        <v/>
      </c>
      <c r="G72" s="22" t="str">
        <f aca="false">IF($F72="","",MAX(0,ROUND($E72*100,0)-ROUND($F72*100,0))/100)</f>
        <v/>
      </c>
      <c r="H72" s="22" t="str">
        <f aca="false">IF($F72="","",MAX(0,ROUND($F72*100,0)-ROUND($E72*100,0))/100)</f>
        <v/>
      </c>
      <c r="I72" s="24" t="str">
        <f aca="false">IF($F72="","Capacity not set",IF(ROUND($F72*100,0)=0,IF($D72&gt;0,"Over capacity","Closed"),IF($D72=0,"No visits",IF(ROUND($E72*100,0)&gt;ROUND($F72*100,0),"Over capacity",IF(ROUND($E72*100,0)=ROUND($F72*100,0),"Full","Room available")))))</f>
        <v>Capacity not set</v>
      </c>
    </row>
    <row r="73" customFormat="false" ht="15" hidden="false" customHeight="false" outlineLevel="0" collapsed="false">
      <c r="A73" s="21" t="n">
        <f aca="false">WinStart+37</f>
        <v>46351</v>
      </c>
      <c r="B73" s="23" t="str">
        <f aca="false">CHOOSE(WEEKDAY($A73,2),"Mon","Tue","Wed","Thu","Fri","Sat","Sun")</f>
        <v>Wed</v>
      </c>
      <c r="C73" s="23" t="n">
        <v>6</v>
      </c>
      <c r="D73" s="23" t="n">
        <f aca="false">SUMPRODUCT((Customers!$J$12:$J$311=1)*($A73&gt;=Customers!$K$12:$K$311)*(MOD($A73-Customers!$K$12:$K$311,Customers!$L$12:$L$311)=0)*($A73&lt;=Customers!$M$12:$M$311))</f>
        <v>0</v>
      </c>
      <c r="E73" s="22" t="n">
        <f aca="false">SUMPRODUCT((Customers!$J$12:$J$311=1)*($A73&gt;=Customers!$K$12:$K$311)*(MOD($A73-Customers!$K$12:$K$311,Customers!$L$12:$L$311)=0)*($A73&lt;=Customers!$M$12:$M$311)*Customers!$N$12:$N$311)/100</f>
        <v>0</v>
      </c>
      <c r="F73" s="22" t="str">
        <f aca="false">IF(OR(INDEX($B$7:$H$7,WEEKDAY($A73,2))="OK",INDEX($B$7:$H$7,WEEKDAY($A73,2))="Closed"),INDEX($B$6:$H$6,WEEKDAY($A73,2)),"")</f>
        <v/>
      </c>
      <c r="G73" s="22" t="str">
        <f aca="false">IF($F73="","",MAX(0,ROUND($E73*100,0)-ROUND($F73*100,0))/100)</f>
        <v/>
      </c>
      <c r="H73" s="22" t="str">
        <f aca="false">IF($F73="","",MAX(0,ROUND($F73*100,0)-ROUND($E73*100,0))/100)</f>
        <v/>
      </c>
      <c r="I73" s="24" t="str">
        <f aca="false">IF($F73="","Capacity not set",IF(ROUND($F73*100,0)=0,IF($D73&gt;0,"Over capacity","Closed"),IF($D73=0,"No visits",IF(ROUND($E73*100,0)&gt;ROUND($F73*100,0),"Over capacity",IF(ROUND($E73*100,0)=ROUND($F73*100,0),"Full","Room available")))))</f>
        <v>Capacity not set</v>
      </c>
    </row>
    <row r="74" customFormat="false" ht="15" hidden="false" customHeight="false" outlineLevel="0" collapsed="false">
      <c r="A74" s="21" t="n">
        <f aca="false">WinStart+38</f>
        <v>46352</v>
      </c>
      <c r="B74" s="23" t="str">
        <f aca="false">CHOOSE(WEEKDAY($A74,2),"Mon","Tue","Wed","Thu","Fri","Sat","Sun")</f>
        <v>Thu</v>
      </c>
      <c r="C74" s="23" t="n">
        <v>6</v>
      </c>
      <c r="D74" s="23" t="n">
        <f aca="false">SUMPRODUCT((Customers!$J$12:$J$311=1)*($A74&gt;=Customers!$K$12:$K$311)*(MOD($A74-Customers!$K$12:$K$311,Customers!$L$12:$L$311)=0)*($A74&lt;=Customers!$M$12:$M$311))</f>
        <v>0</v>
      </c>
      <c r="E74" s="22" t="n">
        <f aca="false">SUMPRODUCT((Customers!$J$12:$J$311=1)*($A74&gt;=Customers!$K$12:$K$311)*(MOD($A74-Customers!$K$12:$K$311,Customers!$L$12:$L$311)=0)*($A74&lt;=Customers!$M$12:$M$311)*Customers!$N$12:$N$311)/100</f>
        <v>0</v>
      </c>
      <c r="F74" s="22" t="str">
        <f aca="false">IF(OR(INDEX($B$7:$H$7,WEEKDAY($A74,2))="OK",INDEX($B$7:$H$7,WEEKDAY($A74,2))="Closed"),INDEX($B$6:$H$6,WEEKDAY($A74,2)),"")</f>
        <v/>
      </c>
      <c r="G74" s="22" t="str">
        <f aca="false">IF($F74="","",MAX(0,ROUND($E74*100,0)-ROUND($F74*100,0))/100)</f>
        <v/>
      </c>
      <c r="H74" s="22" t="str">
        <f aca="false">IF($F74="","",MAX(0,ROUND($F74*100,0)-ROUND($E74*100,0))/100)</f>
        <v/>
      </c>
      <c r="I74" s="24" t="str">
        <f aca="false">IF($F74="","Capacity not set",IF(ROUND($F74*100,0)=0,IF($D74&gt;0,"Over capacity","Closed"),IF($D74=0,"No visits",IF(ROUND($E74*100,0)&gt;ROUND($F74*100,0),"Over capacity",IF(ROUND($E74*100,0)=ROUND($F74*100,0),"Full","Room available")))))</f>
        <v>Capacity not set</v>
      </c>
    </row>
    <row r="75" customFormat="false" ht="15" hidden="false" customHeight="false" outlineLevel="0" collapsed="false">
      <c r="A75" s="21" t="n">
        <f aca="false">WinStart+39</f>
        <v>46353</v>
      </c>
      <c r="B75" s="23" t="str">
        <f aca="false">CHOOSE(WEEKDAY($A75,2),"Mon","Tue","Wed","Thu","Fri","Sat","Sun")</f>
        <v>Fri</v>
      </c>
      <c r="C75" s="23" t="n">
        <v>6</v>
      </c>
      <c r="D75" s="23" t="n">
        <f aca="false">SUMPRODUCT((Customers!$J$12:$J$311=1)*($A75&gt;=Customers!$K$12:$K$311)*(MOD($A75-Customers!$K$12:$K$311,Customers!$L$12:$L$311)=0)*($A75&lt;=Customers!$M$12:$M$311))</f>
        <v>0</v>
      </c>
      <c r="E75" s="22" t="n">
        <f aca="false">SUMPRODUCT((Customers!$J$12:$J$311=1)*($A75&gt;=Customers!$K$12:$K$311)*(MOD($A75-Customers!$K$12:$K$311,Customers!$L$12:$L$311)=0)*($A75&lt;=Customers!$M$12:$M$311)*Customers!$N$12:$N$311)/100</f>
        <v>0</v>
      </c>
      <c r="F75" s="22" t="str">
        <f aca="false">IF(OR(INDEX($B$7:$H$7,WEEKDAY($A75,2))="OK",INDEX($B$7:$H$7,WEEKDAY($A75,2))="Closed"),INDEX($B$6:$H$6,WEEKDAY($A75,2)),"")</f>
        <v/>
      </c>
      <c r="G75" s="22" t="str">
        <f aca="false">IF($F75="","",MAX(0,ROUND($E75*100,0)-ROUND($F75*100,0))/100)</f>
        <v/>
      </c>
      <c r="H75" s="22" t="str">
        <f aca="false">IF($F75="","",MAX(0,ROUND($F75*100,0)-ROUND($E75*100,0))/100)</f>
        <v/>
      </c>
      <c r="I75" s="24" t="str">
        <f aca="false">IF($F75="","Capacity not set",IF(ROUND($F75*100,0)=0,IF($D75&gt;0,"Over capacity","Closed"),IF($D75=0,"No visits",IF(ROUND($E75*100,0)&gt;ROUND($F75*100,0),"Over capacity",IF(ROUND($E75*100,0)=ROUND($F75*100,0),"Full","Room available")))))</f>
        <v>Capacity not set</v>
      </c>
    </row>
    <row r="76" customFormat="false" ht="15" hidden="false" customHeight="false" outlineLevel="0" collapsed="false">
      <c r="A76" s="21" t="n">
        <f aca="false">WinStart+40</f>
        <v>46354</v>
      </c>
      <c r="B76" s="23" t="str">
        <f aca="false">CHOOSE(WEEKDAY($A76,2),"Mon","Tue","Wed","Thu","Fri","Sat","Sun")</f>
        <v>Sat</v>
      </c>
      <c r="C76" s="23" t="n">
        <v>6</v>
      </c>
      <c r="D76" s="23" t="n">
        <f aca="false">SUMPRODUCT((Customers!$J$12:$J$311=1)*($A76&gt;=Customers!$K$12:$K$311)*(MOD($A76-Customers!$K$12:$K$311,Customers!$L$12:$L$311)=0)*($A76&lt;=Customers!$M$12:$M$311))</f>
        <v>0</v>
      </c>
      <c r="E76" s="22" t="n">
        <f aca="false">SUMPRODUCT((Customers!$J$12:$J$311=1)*($A76&gt;=Customers!$K$12:$K$311)*(MOD($A76-Customers!$K$12:$K$311,Customers!$L$12:$L$311)=0)*($A76&lt;=Customers!$M$12:$M$311)*Customers!$N$12:$N$311)/100</f>
        <v>0</v>
      </c>
      <c r="F76" s="22" t="str">
        <f aca="false">IF(OR(INDEX($B$7:$H$7,WEEKDAY($A76,2))="OK",INDEX($B$7:$H$7,WEEKDAY($A76,2))="Closed"),INDEX($B$6:$H$6,WEEKDAY($A76,2)),"")</f>
        <v/>
      </c>
      <c r="G76" s="22" t="str">
        <f aca="false">IF($F76="","",MAX(0,ROUND($E76*100,0)-ROUND($F76*100,0))/100)</f>
        <v/>
      </c>
      <c r="H76" s="22" t="str">
        <f aca="false">IF($F76="","",MAX(0,ROUND($F76*100,0)-ROUND($E76*100,0))/100)</f>
        <v/>
      </c>
      <c r="I76" s="24" t="str">
        <f aca="false">IF($F76="","Capacity not set",IF(ROUND($F76*100,0)=0,IF($D76&gt;0,"Over capacity","Closed"),IF($D76=0,"No visits",IF(ROUND($E76*100,0)&gt;ROUND($F76*100,0),"Over capacity",IF(ROUND($E76*100,0)=ROUND($F76*100,0),"Full","Room available")))))</f>
        <v>Capacity not set</v>
      </c>
    </row>
    <row r="77" customFormat="false" ht="15" hidden="false" customHeight="false" outlineLevel="0" collapsed="false">
      <c r="A77" s="25" t="n">
        <f aca="false">WinStart+41</f>
        <v>46355</v>
      </c>
      <c r="B77" s="26" t="str">
        <f aca="false">CHOOSE(WEEKDAY($A77,2),"Mon","Tue","Wed","Thu","Fri","Sat","Sun")</f>
        <v>Sun</v>
      </c>
      <c r="C77" s="26" t="n">
        <v>6</v>
      </c>
      <c r="D77" s="26" t="n">
        <f aca="false">SUMPRODUCT((Customers!$J$12:$J$311=1)*($A77&gt;=Customers!$K$12:$K$311)*(MOD($A77-Customers!$K$12:$K$311,Customers!$L$12:$L$311)=0)*($A77&lt;=Customers!$M$12:$M$311))</f>
        <v>0</v>
      </c>
      <c r="E77" s="27" t="n">
        <f aca="false">SUMPRODUCT((Customers!$J$12:$J$311=1)*($A77&gt;=Customers!$K$12:$K$311)*(MOD($A77-Customers!$K$12:$K$311,Customers!$L$12:$L$311)=0)*($A77&lt;=Customers!$M$12:$M$311)*Customers!$N$12:$N$311)/100</f>
        <v>0</v>
      </c>
      <c r="F77" s="27" t="str">
        <f aca="false">IF(OR(INDEX($B$7:$H$7,WEEKDAY($A77,2))="OK",INDEX($B$7:$H$7,WEEKDAY($A77,2))="Closed"),INDEX($B$6:$H$6,WEEKDAY($A77,2)),"")</f>
        <v/>
      </c>
      <c r="G77" s="27" t="str">
        <f aca="false">IF($F77="","",MAX(0,ROUND($E77*100,0)-ROUND($F77*100,0))/100)</f>
        <v/>
      </c>
      <c r="H77" s="27" t="str">
        <f aca="false">IF($F77="","",MAX(0,ROUND($F77*100,0)-ROUND($E77*100,0))/100)</f>
        <v/>
      </c>
      <c r="I77" s="28" t="str">
        <f aca="false">IF($F77="","Capacity not set",IF(ROUND($F77*100,0)=0,IF($D77&gt;0,"Over capacity","Closed"),IF($D77=0,"No visits",IF(ROUND($E77*100,0)&gt;ROUND($F77*100,0),"Over capacity",IF(ROUND($E77*100,0)=ROUND($F77*100,0),"Full","Room available")))))</f>
        <v>Capacity not set</v>
      </c>
    </row>
    <row r="78" customFormat="false" ht="15" hidden="false" customHeight="false" outlineLevel="0" collapsed="false">
      <c r="A78" s="21" t="n">
        <f aca="false">WinStart+42</f>
        <v>46356</v>
      </c>
      <c r="B78" s="23" t="str">
        <f aca="false">CHOOSE(WEEKDAY($A78,2),"Mon","Tue","Wed","Thu","Fri","Sat","Sun")</f>
        <v>Mon</v>
      </c>
      <c r="C78" s="23" t="n">
        <v>7</v>
      </c>
      <c r="D78" s="23" t="n">
        <f aca="false">SUMPRODUCT((Customers!$J$12:$J$311=1)*($A78&gt;=Customers!$K$12:$K$311)*(MOD($A78-Customers!$K$12:$K$311,Customers!$L$12:$L$311)=0)*($A78&lt;=Customers!$M$12:$M$311))</f>
        <v>0</v>
      </c>
      <c r="E78" s="22" t="n">
        <f aca="false">SUMPRODUCT((Customers!$J$12:$J$311=1)*($A78&gt;=Customers!$K$12:$K$311)*(MOD($A78-Customers!$K$12:$K$311,Customers!$L$12:$L$311)=0)*($A78&lt;=Customers!$M$12:$M$311)*Customers!$N$12:$N$311)/100</f>
        <v>0</v>
      </c>
      <c r="F78" s="22" t="str">
        <f aca="false">IF(OR(INDEX($B$7:$H$7,WEEKDAY($A78,2))="OK",INDEX($B$7:$H$7,WEEKDAY($A78,2))="Closed"),INDEX($B$6:$H$6,WEEKDAY($A78,2)),"")</f>
        <v/>
      </c>
      <c r="G78" s="22" t="str">
        <f aca="false">IF($F78="","",MAX(0,ROUND($E78*100,0)-ROUND($F78*100,0))/100)</f>
        <v/>
      </c>
      <c r="H78" s="22" t="str">
        <f aca="false">IF($F78="","",MAX(0,ROUND($F78*100,0)-ROUND($E78*100,0))/100)</f>
        <v/>
      </c>
      <c r="I78" s="24" t="str">
        <f aca="false">IF($F78="","Capacity not set",IF(ROUND($F78*100,0)=0,IF($D78&gt;0,"Over capacity","Closed"),IF($D78=0,"No visits",IF(ROUND($E78*100,0)&gt;ROUND($F78*100,0),"Over capacity",IF(ROUND($E78*100,0)=ROUND($F78*100,0),"Full","Room available")))))</f>
        <v>Capacity not set</v>
      </c>
    </row>
    <row r="79" customFormat="false" ht="15" hidden="false" customHeight="false" outlineLevel="0" collapsed="false">
      <c r="A79" s="21" t="n">
        <f aca="false">WinStart+43</f>
        <v>46357</v>
      </c>
      <c r="B79" s="23" t="str">
        <f aca="false">CHOOSE(WEEKDAY($A79,2),"Mon","Tue","Wed","Thu","Fri","Sat","Sun")</f>
        <v>Tue</v>
      </c>
      <c r="C79" s="23" t="n">
        <v>7</v>
      </c>
      <c r="D79" s="23" t="n">
        <f aca="false">SUMPRODUCT((Customers!$J$12:$J$311=1)*($A79&gt;=Customers!$K$12:$K$311)*(MOD($A79-Customers!$K$12:$K$311,Customers!$L$12:$L$311)=0)*($A79&lt;=Customers!$M$12:$M$311))</f>
        <v>0</v>
      </c>
      <c r="E79" s="22" t="n">
        <f aca="false">SUMPRODUCT((Customers!$J$12:$J$311=1)*($A79&gt;=Customers!$K$12:$K$311)*(MOD($A79-Customers!$K$12:$K$311,Customers!$L$12:$L$311)=0)*($A79&lt;=Customers!$M$12:$M$311)*Customers!$N$12:$N$311)/100</f>
        <v>0</v>
      </c>
      <c r="F79" s="22" t="str">
        <f aca="false">IF(OR(INDEX($B$7:$H$7,WEEKDAY($A79,2))="OK",INDEX($B$7:$H$7,WEEKDAY($A79,2))="Closed"),INDEX($B$6:$H$6,WEEKDAY($A79,2)),"")</f>
        <v/>
      </c>
      <c r="G79" s="22" t="str">
        <f aca="false">IF($F79="","",MAX(0,ROUND($E79*100,0)-ROUND($F79*100,0))/100)</f>
        <v/>
      </c>
      <c r="H79" s="22" t="str">
        <f aca="false">IF($F79="","",MAX(0,ROUND($F79*100,0)-ROUND($E79*100,0))/100)</f>
        <v/>
      </c>
      <c r="I79" s="24" t="str">
        <f aca="false">IF($F79="","Capacity not set",IF(ROUND($F79*100,0)=0,IF($D79&gt;0,"Over capacity","Closed"),IF($D79=0,"No visits",IF(ROUND($E79*100,0)&gt;ROUND($F79*100,0),"Over capacity",IF(ROUND($E79*100,0)=ROUND($F79*100,0),"Full","Room available")))))</f>
        <v>Capacity not set</v>
      </c>
    </row>
    <row r="80" customFormat="false" ht="15" hidden="false" customHeight="false" outlineLevel="0" collapsed="false">
      <c r="A80" s="21" t="n">
        <f aca="false">WinStart+44</f>
        <v>46358</v>
      </c>
      <c r="B80" s="23" t="str">
        <f aca="false">CHOOSE(WEEKDAY($A80,2),"Mon","Tue","Wed","Thu","Fri","Sat","Sun")</f>
        <v>Wed</v>
      </c>
      <c r="C80" s="23" t="n">
        <v>7</v>
      </c>
      <c r="D80" s="23" t="n">
        <f aca="false">SUMPRODUCT((Customers!$J$12:$J$311=1)*($A80&gt;=Customers!$K$12:$K$311)*(MOD($A80-Customers!$K$12:$K$311,Customers!$L$12:$L$311)=0)*($A80&lt;=Customers!$M$12:$M$311))</f>
        <v>0</v>
      </c>
      <c r="E80" s="22" t="n">
        <f aca="false">SUMPRODUCT((Customers!$J$12:$J$311=1)*($A80&gt;=Customers!$K$12:$K$311)*(MOD($A80-Customers!$K$12:$K$311,Customers!$L$12:$L$311)=0)*($A80&lt;=Customers!$M$12:$M$311)*Customers!$N$12:$N$311)/100</f>
        <v>0</v>
      </c>
      <c r="F80" s="22" t="str">
        <f aca="false">IF(OR(INDEX($B$7:$H$7,WEEKDAY($A80,2))="OK",INDEX($B$7:$H$7,WEEKDAY($A80,2))="Closed"),INDEX($B$6:$H$6,WEEKDAY($A80,2)),"")</f>
        <v/>
      </c>
      <c r="G80" s="22" t="str">
        <f aca="false">IF($F80="","",MAX(0,ROUND($E80*100,0)-ROUND($F80*100,0))/100)</f>
        <v/>
      </c>
      <c r="H80" s="22" t="str">
        <f aca="false">IF($F80="","",MAX(0,ROUND($F80*100,0)-ROUND($E80*100,0))/100)</f>
        <v/>
      </c>
      <c r="I80" s="24" t="str">
        <f aca="false">IF($F80="","Capacity not set",IF(ROUND($F80*100,0)=0,IF($D80&gt;0,"Over capacity","Closed"),IF($D80=0,"No visits",IF(ROUND($E80*100,0)&gt;ROUND($F80*100,0),"Over capacity",IF(ROUND($E80*100,0)=ROUND($F80*100,0),"Full","Room available")))))</f>
        <v>Capacity not set</v>
      </c>
    </row>
    <row r="81" customFormat="false" ht="15" hidden="false" customHeight="false" outlineLevel="0" collapsed="false">
      <c r="A81" s="21" t="n">
        <f aca="false">WinStart+45</f>
        <v>46359</v>
      </c>
      <c r="B81" s="23" t="str">
        <f aca="false">CHOOSE(WEEKDAY($A81,2),"Mon","Tue","Wed","Thu","Fri","Sat","Sun")</f>
        <v>Thu</v>
      </c>
      <c r="C81" s="23" t="n">
        <v>7</v>
      </c>
      <c r="D81" s="23" t="n">
        <f aca="false">SUMPRODUCT((Customers!$J$12:$J$311=1)*($A81&gt;=Customers!$K$12:$K$311)*(MOD($A81-Customers!$K$12:$K$311,Customers!$L$12:$L$311)=0)*($A81&lt;=Customers!$M$12:$M$311))</f>
        <v>0</v>
      </c>
      <c r="E81" s="22" t="n">
        <f aca="false">SUMPRODUCT((Customers!$J$12:$J$311=1)*($A81&gt;=Customers!$K$12:$K$311)*(MOD($A81-Customers!$K$12:$K$311,Customers!$L$12:$L$311)=0)*($A81&lt;=Customers!$M$12:$M$311)*Customers!$N$12:$N$311)/100</f>
        <v>0</v>
      </c>
      <c r="F81" s="22" t="str">
        <f aca="false">IF(OR(INDEX($B$7:$H$7,WEEKDAY($A81,2))="OK",INDEX($B$7:$H$7,WEEKDAY($A81,2))="Closed"),INDEX($B$6:$H$6,WEEKDAY($A81,2)),"")</f>
        <v/>
      </c>
      <c r="G81" s="22" t="str">
        <f aca="false">IF($F81="","",MAX(0,ROUND($E81*100,0)-ROUND($F81*100,0))/100)</f>
        <v/>
      </c>
      <c r="H81" s="22" t="str">
        <f aca="false">IF($F81="","",MAX(0,ROUND($F81*100,0)-ROUND($E81*100,0))/100)</f>
        <v/>
      </c>
      <c r="I81" s="24" t="str">
        <f aca="false">IF($F81="","Capacity not set",IF(ROUND($F81*100,0)=0,IF($D81&gt;0,"Over capacity","Closed"),IF($D81=0,"No visits",IF(ROUND($E81*100,0)&gt;ROUND($F81*100,0),"Over capacity",IF(ROUND($E81*100,0)=ROUND($F81*100,0),"Full","Room available")))))</f>
        <v>Capacity not set</v>
      </c>
    </row>
    <row r="82" customFormat="false" ht="15" hidden="false" customHeight="false" outlineLevel="0" collapsed="false">
      <c r="A82" s="21" t="n">
        <f aca="false">WinStart+46</f>
        <v>46360</v>
      </c>
      <c r="B82" s="23" t="str">
        <f aca="false">CHOOSE(WEEKDAY($A82,2),"Mon","Tue","Wed","Thu","Fri","Sat","Sun")</f>
        <v>Fri</v>
      </c>
      <c r="C82" s="23" t="n">
        <v>7</v>
      </c>
      <c r="D82" s="23" t="n">
        <f aca="false">SUMPRODUCT((Customers!$J$12:$J$311=1)*($A82&gt;=Customers!$K$12:$K$311)*(MOD($A82-Customers!$K$12:$K$311,Customers!$L$12:$L$311)=0)*($A82&lt;=Customers!$M$12:$M$311))</f>
        <v>0</v>
      </c>
      <c r="E82" s="22" t="n">
        <f aca="false">SUMPRODUCT((Customers!$J$12:$J$311=1)*($A82&gt;=Customers!$K$12:$K$311)*(MOD($A82-Customers!$K$12:$K$311,Customers!$L$12:$L$311)=0)*($A82&lt;=Customers!$M$12:$M$311)*Customers!$N$12:$N$311)/100</f>
        <v>0</v>
      </c>
      <c r="F82" s="22" t="str">
        <f aca="false">IF(OR(INDEX($B$7:$H$7,WEEKDAY($A82,2))="OK",INDEX($B$7:$H$7,WEEKDAY($A82,2))="Closed"),INDEX($B$6:$H$6,WEEKDAY($A82,2)),"")</f>
        <v/>
      </c>
      <c r="G82" s="22" t="str">
        <f aca="false">IF($F82="","",MAX(0,ROUND($E82*100,0)-ROUND($F82*100,0))/100)</f>
        <v/>
      </c>
      <c r="H82" s="22" t="str">
        <f aca="false">IF($F82="","",MAX(0,ROUND($F82*100,0)-ROUND($E82*100,0))/100)</f>
        <v/>
      </c>
      <c r="I82" s="24" t="str">
        <f aca="false">IF($F82="","Capacity not set",IF(ROUND($F82*100,0)=0,IF($D82&gt;0,"Over capacity","Closed"),IF($D82=0,"No visits",IF(ROUND($E82*100,0)&gt;ROUND($F82*100,0),"Over capacity",IF(ROUND($E82*100,0)=ROUND($F82*100,0),"Full","Room available")))))</f>
        <v>Capacity not set</v>
      </c>
    </row>
    <row r="83" customFormat="false" ht="15" hidden="false" customHeight="false" outlineLevel="0" collapsed="false">
      <c r="A83" s="21" t="n">
        <f aca="false">WinStart+47</f>
        <v>46361</v>
      </c>
      <c r="B83" s="23" t="str">
        <f aca="false">CHOOSE(WEEKDAY($A83,2),"Mon","Tue","Wed","Thu","Fri","Sat","Sun")</f>
        <v>Sat</v>
      </c>
      <c r="C83" s="23" t="n">
        <v>7</v>
      </c>
      <c r="D83" s="23" t="n">
        <f aca="false">SUMPRODUCT((Customers!$J$12:$J$311=1)*($A83&gt;=Customers!$K$12:$K$311)*(MOD($A83-Customers!$K$12:$K$311,Customers!$L$12:$L$311)=0)*($A83&lt;=Customers!$M$12:$M$311))</f>
        <v>0</v>
      </c>
      <c r="E83" s="22" t="n">
        <f aca="false">SUMPRODUCT((Customers!$J$12:$J$311=1)*($A83&gt;=Customers!$K$12:$K$311)*(MOD($A83-Customers!$K$12:$K$311,Customers!$L$12:$L$311)=0)*($A83&lt;=Customers!$M$12:$M$311)*Customers!$N$12:$N$311)/100</f>
        <v>0</v>
      </c>
      <c r="F83" s="22" t="str">
        <f aca="false">IF(OR(INDEX($B$7:$H$7,WEEKDAY($A83,2))="OK",INDEX($B$7:$H$7,WEEKDAY($A83,2))="Closed"),INDEX($B$6:$H$6,WEEKDAY($A83,2)),"")</f>
        <v/>
      </c>
      <c r="G83" s="22" t="str">
        <f aca="false">IF($F83="","",MAX(0,ROUND($E83*100,0)-ROUND($F83*100,0))/100)</f>
        <v/>
      </c>
      <c r="H83" s="22" t="str">
        <f aca="false">IF($F83="","",MAX(0,ROUND($F83*100,0)-ROUND($E83*100,0))/100)</f>
        <v/>
      </c>
      <c r="I83" s="24" t="str">
        <f aca="false">IF($F83="","Capacity not set",IF(ROUND($F83*100,0)=0,IF($D83&gt;0,"Over capacity","Closed"),IF($D83=0,"No visits",IF(ROUND($E83*100,0)&gt;ROUND($F83*100,0),"Over capacity",IF(ROUND($E83*100,0)=ROUND($F83*100,0),"Full","Room available")))))</f>
        <v>Capacity not set</v>
      </c>
    </row>
    <row r="84" customFormat="false" ht="15" hidden="false" customHeight="false" outlineLevel="0" collapsed="false">
      <c r="A84" s="25" t="n">
        <f aca="false">WinStart+48</f>
        <v>46362</v>
      </c>
      <c r="B84" s="26" t="str">
        <f aca="false">CHOOSE(WEEKDAY($A84,2),"Mon","Tue","Wed","Thu","Fri","Sat","Sun")</f>
        <v>Sun</v>
      </c>
      <c r="C84" s="26" t="n">
        <v>7</v>
      </c>
      <c r="D84" s="26" t="n">
        <f aca="false">SUMPRODUCT((Customers!$J$12:$J$311=1)*($A84&gt;=Customers!$K$12:$K$311)*(MOD($A84-Customers!$K$12:$K$311,Customers!$L$12:$L$311)=0)*($A84&lt;=Customers!$M$12:$M$311))</f>
        <v>0</v>
      </c>
      <c r="E84" s="27" t="n">
        <f aca="false">SUMPRODUCT((Customers!$J$12:$J$311=1)*($A84&gt;=Customers!$K$12:$K$311)*(MOD($A84-Customers!$K$12:$K$311,Customers!$L$12:$L$311)=0)*($A84&lt;=Customers!$M$12:$M$311)*Customers!$N$12:$N$311)/100</f>
        <v>0</v>
      </c>
      <c r="F84" s="27" t="str">
        <f aca="false">IF(OR(INDEX($B$7:$H$7,WEEKDAY($A84,2))="OK",INDEX($B$7:$H$7,WEEKDAY($A84,2))="Closed"),INDEX($B$6:$H$6,WEEKDAY($A84,2)),"")</f>
        <v/>
      </c>
      <c r="G84" s="27" t="str">
        <f aca="false">IF($F84="","",MAX(0,ROUND($E84*100,0)-ROUND($F84*100,0))/100)</f>
        <v/>
      </c>
      <c r="H84" s="27" t="str">
        <f aca="false">IF($F84="","",MAX(0,ROUND($F84*100,0)-ROUND($E84*100,0))/100)</f>
        <v/>
      </c>
      <c r="I84" s="28" t="str">
        <f aca="false">IF($F84="","Capacity not set",IF(ROUND($F84*100,0)=0,IF($D84&gt;0,"Over capacity","Closed"),IF($D84=0,"No visits",IF(ROUND($E84*100,0)&gt;ROUND($F84*100,0),"Over capacity",IF(ROUND($E84*100,0)=ROUND($F84*100,0),"Full","Room available")))))</f>
        <v>Capacity not set</v>
      </c>
    </row>
    <row r="85" customFormat="false" ht="15" hidden="false" customHeight="false" outlineLevel="0" collapsed="false">
      <c r="A85" s="21" t="n">
        <f aca="false">WinStart+49</f>
        <v>46363</v>
      </c>
      <c r="B85" s="23" t="str">
        <f aca="false">CHOOSE(WEEKDAY($A85,2),"Mon","Tue","Wed","Thu","Fri","Sat","Sun")</f>
        <v>Mon</v>
      </c>
      <c r="C85" s="23" t="n">
        <v>8</v>
      </c>
      <c r="D85" s="23" t="n">
        <f aca="false">SUMPRODUCT((Customers!$J$12:$J$311=1)*($A85&gt;=Customers!$K$12:$K$311)*(MOD($A85-Customers!$K$12:$K$311,Customers!$L$12:$L$311)=0)*($A85&lt;=Customers!$M$12:$M$311))</f>
        <v>0</v>
      </c>
      <c r="E85" s="22" t="n">
        <f aca="false">SUMPRODUCT((Customers!$J$12:$J$311=1)*($A85&gt;=Customers!$K$12:$K$311)*(MOD($A85-Customers!$K$12:$K$311,Customers!$L$12:$L$311)=0)*($A85&lt;=Customers!$M$12:$M$311)*Customers!$N$12:$N$311)/100</f>
        <v>0</v>
      </c>
      <c r="F85" s="22" t="str">
        <f aca="false">IF(OR(INDEX($B$7:$H$7,WEEKDAY($A85,2))="OK",INDEX($B$7:$H$7,WEEKDAY($A85,2))="Closed"),INDEX($B$6:$H$6,WEEKDAY($A85,2)),"")</f>
        <v/>
      </c>
      <c r="G85" s="22" t="str">
        <f aca="false">IF($F85="","",MAX(0,ROUND($E85*100,0)-ROUND($F85*100,0))/100)</f>
        <v/>
      </c>
      <c r="H85" s="22" t="str">
        <f aca="false">IF($F85="","",MAX(0,ROUND($F85*100,0)-ROUND($E85*100,0))/100)</f>
        <v/>
      </c>
      <c r="I85" s="24" t="str">
        <f aca="false">IF($F85="","Capacity not set",IF(ROUND($F85*100,0)=0,IF($D85&gt;0,"Over capacity","Closed"),IF($D85=0,"No visits",IF(ROUND($E85*100,0)&gt;ROUND($F85*100,0),"Over capacity",IF(ROUND($E85*100,0)=ROUND($F85*100,0),"Full","Room available")))))</f>
        <v>Capacity not set</v>
      </c>
    </row>
    <row r="86" customFormat="false" ht="15" hidden="false" customHeight="false" outlineLevel="0" collapsed="false">
      <c r="A86" s="21" t="n">
        <f aca="false">WinStart+50</f>
        <v>46364</v>
      </c>
      <c r="B86" s="23" t="str">
        <f aca="false">CHOOSE(WEEKDAY($A86,2),"Mon","Tue","Wed","Thu","Fri","Sat","Sun")</f>
        <v>Tue</v>
      </c>
      <c r="C86" s="23" t="n">
        <v>8</v>
      </c>
      <c r="D86" s="23" t="n">
        <f aca="false">SUMPRODUCT((Customers!$J$12:$J$311=1)*($A86&gt;=Customers!$K$12:$K$311)*(MOD($A86-Customers!$K$12:$K$311,Customers!$L$12:$L$311)=0)*($A86&lt;=Customers!$M$12:$M$311))</f>
        <v>0</v>
      </c>
      <c r="E86" s="22" t="n">
        <f aca="false">SUMPRODUCT((Customers!$J$12:$J$311=1)*($A86&gt;=Customers!$K$12:$K$311)*(MOD($A86-Customers!$K$12:$K$311,Customers!$L$12:$L$311)=0)*($A86&lt;=Customers!$M$12:$M$311)*Customers!$N$12:$N$311)/100</f>
        <v>0</v>
      </c>
      <c r="F86" s="22" t="str">
        <f aca="false">IF(OR(INDEX($B$7:$H$7,WEEKDAY($A86,2))="OK",INDEX($B$7:$H$7,WEEKDAY($A86,2))="Closed"),INDEX($B$6:$H$6,WEEKDAY($A86,2)),"")</f>
        <v/>
      </c>
      <c r="G86" s="22" t="str">
        <f aca="false">IF($F86="","",MAX(0,ROUND($E86*100,0)-ROUND($F86*100,0))/100)</f>
        <v/>
      </c>
      <c r="H86" s="22" t="str">
        <f aca="false">IF($F86="","",MAX(0,ROUND($F86*100,0)-ROUND($E86*100,0))/100)</f>
        <v/>
      </c>
      <c r="I86" s="24" t="str">
        <f aca="false">IF($F86="","Capacity not set",IF(ROUND($F86*100,0)=0,IF($D86&gt;0,"Over capacity","Closed"),IF($D86=0,"No visits",IF(ROUND($E86*100,0)&gt;ROUND($F86*100,0),"Over capacity",IF(ROUND($E86*100,0)=ROUND($F86*100,0),"Full","Room available")))))</f>
        <v>Capacity not set</v>
      </c>
    </row>
    <row r="87" customFormat="false" ht="15" hidden="false" customHeight="false" outlineLevel="0" collapsed="false">
      <c r="A87" s="21" t="n">
        <f aca="false">WinStart+51</f>
        <v>46365</v>
      </c>
      <c r="B87" s="23" t="str">
        <f aca="false">CHOOSE(WEEKDAY($A87,2),"Mon","Tue","Wed","Thu","Fri","Sat","Sun")</f>
        <v>Wed</v>
      </c>
      <c r="C87" s="23" t="n">
        <v>8</v>
      </c>
      <c r="D87" s="23" t="n">
        <f aca="false">SUMPRODUCT((Customers!$J$12:$J$311=1)*($A87&gt;=Customers!$K$12:$K$311)*(MOD($A87-Customers!$K$12:$K$311,Customers!$L$12:$L$311)=0)*($A87&lt;=Customers!$M$12:$M$311))</f>
        <v>0</v>
      </c>
      <c r="E87" s="22" t="n">
        <f aca="false">SUMPRODUCT((Customers!$J$12:$J$311=1)*($A87&gt;=Customers!$K$12:$K$311)*(MOD($A87-Customers!$K$12:$K$311,Customers!$L$12:$L$311)=0)*($A87&lt;=Customers!$M$12:$M$311)*Customers!$N$12:$N$311)/100</f>
        <v>0</v>
      </c>
      <c r="F87" s="22" t="str">
        <f aca="false">IF(OR(INDEX($B$7:$H$7,WEEKDAY($A87,2))="OK",INDEX($B$7:$H$7,WEEKDAY($A87,2))="Closed"),INDEX($B$6:$H$6,WEEKDAY($A87,2)),"")</f>
        <v/>
      </c>
      <c r="G87" s="22" t="str">
        <f aca="false">IF($F87="","",MAX(0,ROUND($E87*100,0)-ROUND($F87*100,0))/100)</f>
        <v/>
      </c>
      <c r="H87" s="22" t="str">
        <f aca="false">IF($F87="","",MAX(0,ROUND($F87*100,0)-ROUND($E87*100,0))/100)</f>
        <v/>
      </c>
      <c r="I87" s="24" t="str">
        <f aca="false">IF($F87="","Capacity not set",IF(ROUND($F87*100,0)=0,IF($D87&gt;0,"Over capacity","Closed"),IF($D87=0,"No visits",IF(ROUND($E87*100,0)&gt;ROUND($F87*100,0),"Over capacity",IF(ROUND($E87*100,0)=ROUND($F87*100,0),"Full","Room available")))))</f>
        <v>Capacity not set</v>
      </c>
    </row>
    <row r="88" customFormat="false" ht="15" hidden="false" customHeight="false" outlineLevel="0" collapsed="false">
      <c r="A88" s="21" t="n">
        <f aca="false">WinStart+52</f>
        <v>46366</v>
      </c>
      <c r="B88" s="23" t="str">
        <f aca="false">CHOOSE(WEEKDAY($A88,2),"Mon","Tue","Wed","Thu","Fri","Sat","Sun")</f>
        <v>Thu</v>
      </c>
      <c r="C88" s="23" t="n">
        <v>8</v>
      </c>
      <c r="D88" s="23" t="n">
        <f aca="false">SUMPRODUCT((Customers!$J$12:$J$311=1)*($A88&gt;=Customers!$K$12:$K$311)*(MOD($A88-Customers!$K$12:$K$311,Customers!$L$12:$L$311)=0)*($A88&lt;=Customers!$M$12:$M$311))</f>
        <v>0</v>
      </c>
      <c r="E88" s="22" t="n">
        <f aca="false">SUMPRODUCT((Customers!$J$12:$J$311=1)*($A88&gt;=Customers!$K$12:$K$311)*(MOD($A88-Customers!$K$12:$K$311,Customers!$L$12:$L$311)=0)*($A88&lt;=Customers!$M$12:$M$311)*Customers!$N$12:$N$311)/100</f>
        <v>0</v>
      </c>
      <c r="F88" s="22" t="str">
        <f aca="false">IF(OR(INDEX($B$7:$H$7,WEEKDAY($A88,2))="OK",INDEX($B$7:$H$7,WEEKDAY($A88,2))="Closed"),INDEX($B$6:$H$6,WEEKDAY($A88,2)),"")</f>
        <v/>
      </c>
      <c r="G88" s="22" t="str">
        <f aca="false">IF($F88="","",MAX(0,ROUND($E88*100,0)-ROUND($F88*100,0))/100)</f>
        <v/>
      </c>
      <c r="H88" s="22" t="str">
        <f aca="false">IF($F88="","",MAX(0,ROUND($F88*100,0)-ROUND($E88*100,0))/100)</f>
        <v/>
      </c>
      <c r="I88" s="24" t="str">
        <f aca="false">IF($F88="","Capacity not set",IF(ROUND($F88*100,0)=0,IF($D88&gt;0,"Over capacity","Closed"),IF($D88=0,"No visits",IF(ROUND($E88*100,0)&gt;ROUND($F88*100,0),"Over capacity",IF(ROUND($E88*100,0)=ROUND($F88*100,0),"Full","Room available")))))</f>
        <v>Capacity not set</v>
      </c>
    </row>
    <row r="89" customFormat="false" ht="15" hidden="false" customHeight="false" outlineLevel="0" collapsed="false">
      <c r="A89" s="21" t="n">
        <f aca="false">WinStart+53</f>
        <v>46367</v>
      </c>
      <c r="B89" s="23" t="str">
        <f aca="false">CHOOSE(WEEKDAY($A89,2),"Mon","Tue","Wed","Thu","Fri","Sat","Sun")</f>
        <v>Fri</v>
      </c>
      <c r="C89" s="23" t="n">
        <v>8</v>
      </c>
      <c r="D89" s="23" t="n">
        <f aca="false">SUMPRODUCT((Customers!$J$12:$J$311=1)*($A89&gt;=Customers!$K$12:$K$311)*(MOD($A89-Customers!$K$12:$K$311,Customers!$L$12:$L$311)=0)*($A89&lt;=Customers!$M$12:$M$311))</f>
        <v>0</v>
      </c>
      <c r="E89" s="22" t="n">
        <f aca="false">SUMPRODUCT((Customers!$J$12:$J$311=1)*($A89&gt;=Customers!$K$12:$K$311)*(MOD($A89-Customers!$K$12:$K$311,Customers!$L$12:$L$311)=0)*($A89&lt;=Customers!$M$12:$M$311)*Customers!$N$12:$N$311)/100</f>
        <v>0</v>
      </c>
      <c r="F89" s="22" t="str">
        <f aca="false">IF(OR(INDEX($B$7:$H$7,WEEKDAY($A89,2))="OK",INDEX($B$7:$H$7,WEEKDAY($A89,2))="Closed"),INDEX($B$6:$H$6,WEEKDAY($A89,2)),"")</f>
        <v/>
      </c>
      <c r="G89" s="22" t="str">
        <f aca="false">IF($F89="","",MAX(0,ROUND($E89*100,0)-ROUND($F89*100,0))/100)</f>
        <v/>
      </c>
      <c r="H89" s="22" t="str">
        <f aca="false">IF($F89="","",MAX(0,ROUND($F89*100,0)-ROUND($E89*100,0))/100)</f>
        <v/>
      </c>
      <c r="I89" s="24" t="str">
        <f aca="false">IF($F89="","Capacity not set",IF(ROUND($F89*100,0)=0,IF($D89&gt;0,"Over capacity","Closed"),IF($D89=0,"No visits",IF(ROUND($E89*100,0)&gt;ROUND($F89*100,0),"Over capacity",IF(ROUND($E89*100,0)=ROUND($F89*100,0),"Full","Room available")))))</f>
        <v>Capacity not set</v>
      </c>
    </row>
    <row r="90" customFormat="false" ht="15" hidden="false" customHeight="false" outlineLevel="0" collapsed="false">
      <c r="A90" s="21" t="n">
        <f aca="false">WinStart+54</f>
        <v>46368</v>
      </c>
      <c r="B90" s="23" t="str">
        <f aca="false">CHOOSE(WEEKDAY($A90,2),"Mon","Tue","Wed","Thu","Fri","Sat","Sun")</f>
        <v>Sat</v>
      </c>
      <c r="C90" s="23" t="n">
        <v>8</v>
      </c>
      <c r="D90" s="23" t="n">
        <f aca="false">SUMPRODUCT((Customers!$J$12:$J$311=1)*($A90&gt;=Customers!$K$12:$K$311)*(MOD($A90-Customers!$K$12:$K$311,Customers!$L$12:$L$311)=0)*($A90&lt;=Customers!$M$12:$M$311))</f>
        <v>0</v>
      </c>
      <c r="E90" s="22" t="n">
        <f aca="false">SUMPRODUCT((Customers!$J$12:$J$311=1)*($A90&gt;=Customers!$K$12:$K$311)*(MOD($A90-Customers!$K$12:$K$311,Customers!$L$12:$L$311)=0)*($A90&lt;=Customers!$M$12:$M$311)*Customers!$N$12:$N$311)/100</f>
        <v>0</v>
      </c>
      <c r="F90" s="22" t="str">
        <f aca="false">IF(OR(INDEX($B$7:$H$7,WEEKDAY($A90,2))="OK",INDEX($B$7:$H$7,WEEKDAY($A90,2))="Closed"),INDEX($B$6:$H$6,WEEKDAY($A90,2)),"")</f>
        <v/>
      </c>
      <c r="G90" s="22" t="str">
        <f aca="false">IF($F90="","",MAX(0,ROUND($E90*100,0)-ROUND($F90*100,0))/100)</f>
        <v/>
      </c>
      <c r="H90" s="22" t="str">
        <f aca="false">IF($F90="","",MAX(0,ROUND($F90*100,0)-ROUND($E90*100,0))/100)</f>
        <v/>
      </c>
      <c r="I90" s="24" t="str">
        <f aca="false">IF($F90="","Capacity not set",IF(ROUND($F90*100,0)=0,IF($D90&gt;0,"Over capacity","Closed"),IF($D90=0,"No visits",IF(ROUND($E90*100,0)&gt;ROUND($F90*100,0),"Over capacity",IF(ROUND($E90*100,0)=ROUND($F90*100,0),"Full","Room available")))))</f>
        <v>Capacity not set</v>
      </c>
    </row>
    <row r="91" customFormat="false" ht="15" hidden="false" customHeight="false" outlineLevel="0" collapsed="false">
      <c r="A91" s="25" t="n">
        <f aca="false">WinStart+55</f>
        <v>46369</v>
      </c>
      <c r="B91" s="26" t="str">
        <f aca="false">CHOOSE(WEEKDAY($A91,2),"Mon","Tue","Wed","Thu","Fri","Sat","Sun")</f>
        <v>Sun</v>
      </c>
      <c r="C91" s="26" t="n">
        <v>8</v>
      </c>
      <c r="D91" s="26" t="n">
        <f aca="false">SUMPRODUCT((Customers!$J$12:$J$311=1)*($A91&gt;=Customers!$K$12:$K$311)*(MOD($A91-Customers!$K$12:$K$311,Customers!$L$12:$L$311)=0)*($A91&lt;=Customers!$M$12:$M$311))</f>
        <v>0</v>
      </c>
      <c r="E91" s="27" t="n">
        <f aca="false">SUMPRODUCT((Customers!$J$12:$J$311=1)*($A91&gt;=Customers!$K$12:$K$311)*(MOD($A91-Customers!$K$12:$K$311,Customers!$L$12:$L$311)=0)*($A91&lt;=Customers!$M$12:$M$311)*Customers!$N$12:$N$311)/100</f>
        <v>0</v>
      </c>
      <c r="F91" s="27" t="str">
        <f aca="false">IF(OR(INDEX($B$7:$H$7,WEEKDAY($A91,2))="OK",INDEX($B$7:$H$7,WEEKDAY($A91,2))="Closed"),INDEX($B$6:$H$6,WEEKDAY($A91,2)),"")</f>
        <v/>
      </c>
      <c r="G91" s="27" t="str">
        <f aca="false">IF($F91="","",MAX(0,ROUND($E91*100,0)-ROUND($F91*100,0))/100)</f>
        <v/>
      </c>
      <c r="H91" s="27" t="str">
        <f aca="false">IF($F91="","",MAX(0,ROUND($F91*100,0)-ROUND($E91*100,0))/100)</f>
        <v/>
      </c>
      <c r="I91" s="28" t="str">
        <f aca="false">IF($F91="","Capacity not set",IF(ROUND($F91*100,0)=0,IF($D91&gt;0,"Over capacity","Closed"),IF($D91=0,"No visits",IF(ROUND($E91*100,0)&gt;ROUND($F91*100,0),"Over capacity",IF(ROUND($E91*100,0)=ROUND($F91*100,0),"Full","Room available")))))</f>
        <v>Capacity not set</v>
      </c>
    </row>
    <row r="92" customFormat="false" ht="15" hidden="false" customHeight="false" outlineLevel="0" collapsed="false">
      <c r="A92" s="21" t="n">
        <f aca="false">WinStart+56</f>
        <v>46370</v>
      </c>
      <c r="B92" s="23" t="str">
        <f aca="false">CHOOSE(WEEKDAY($A92,2),"Mon","Tue","Wed","Thu","Fri","Sat","Sun")</f>
        <v>Mon</v>
      </c>
      <c r="C92" s="23" t="n">
        <v>9</v>
      </c>
      <c r="D92" s="23" t="n">
        <f aca="false">SUMPRODUCT((Customers!$J$12:$J$311=1)*($A92&gt;=Customers!$K$12:$K$311)*(MOD($A92-Customers!$K$12:$K$311,Customers!$L$12:$L$311)=0)*($A92&lt;=Customers!$M$12:$M$311))</f>
        <v>0</v>
      </c>
      <c r="E92" s="22" t="n">
        <f aca="false">SUMPRODUCT((Customers!$J$12:$J$311=1)*($A92&gt;=Customers!$K$12:$K$311)*(MOD($A92-Customers!$K$12:$K$311,Customers!$L$12:$L$311)=0)*($A92&lt;=Customers!$M$12:$M$311)*Customers!$N$12:$N$311)/100</f>
        <v>0</v>
      </c>
      <c r="F92" s="22" t="str">
        <f aca="false">IF(OR(INDEX($B$7:$H$7,WEEKDAY($A92,2))="OK",INDEX($B$7:$H$7,WEEKDAY($A92,2))="Closed"),INDEX($B$6:$H$6,WEEKDAY($A92,2)),"")</f>
        <v/>
      </c>
      <c r="G92" s="22" t="str">
        <f aca="false">IF($F92="","",MAX(0,ROUND($E92*100,0)-ROUND($F92*100,0))/100)</f>
        <v/>
      </c>
      <c r="H92" s="22" t="str">
        <f aca="false">IF($F92="","",MAX(0,ROUND($F92*100,0)-ROUND($E92*100,0))/100)</f>
        <v/>
      </c>
      <c r="I92" s="24" t="str">
        <f aca="false">IF($F92="","Capacity not set",IF(ROUND($F92*100,0)=0,IF($D92&gt;0,"Over capacity","Closed"),IF($D92=0,"No visits",IF(ROUND($E92*100,0)&gt;ROUND($F92*100,0),"Over capacity",IF(ROUND($E92*100,0)=ROUND($F92*100,0),"Full","Room available")))))</f>
        <v>Capacity not set</v>
      </c>
    </row>
    <row r="93" customFormat="false" ht="15" hidden="false" customHeight="false" outlineLevel="0" collapsed="false">
      <c r="A93" s="21" t="n">
        <f aca="false">WinStart+57</f>
        <v>46371</v>
      </c>
      <c r="B93" s="23" t="str">
        <f aca="false">CHOOSE(WEEKDAY($A93,2),"Mon","Tue","Wed","Thu","Fri","Sat","Sun")</f>
        <v>Tue</v>
      </c>
      <c r="C93" s="23" t="n">
        <v>9</v>
      </c>
      <c r="D93" s="23" t="n">
        <f aca="false">SUMPRODUCT((Customers!$J$12:$J$311=1)*($A93&gt;=Customers!$K$12:$K$311)*(MOD($A93-Customers!$K$12:$K$311,Customers!$L$12:$L$311)=0)*($A93&lt;=Customers!$M$12:$M$311))</f>
        <v>0</v>
      </c>
      <c r="E93" s="22" t="n">
        <f aca="false">SUMPRODUCT((Customers!$J$12:$J$311=1)*($A93&gt;=Customers!$K$12:$K$311)*(MOD($A93-Customers!$K$12:$K$311,Customers!$L$12:$L$311)=0)*($A93&lt;=Customers!$M$12:$M$311)*Customers!$N$12:$N$311)/100</f>
        <v>0</v>
      </c>
      <c r="F93" s="22" t="str">
        <f aca="false">IF(OR(INDEX($B$7:$H$7,WEEKDAY($A93,2))="OK",INDEX($B$7:$H$7,WEEKDAY($A93,2))="Closed"),INDEX($B$6:$H$6,WEEKDAY($A93,2)),"")</f>
        <v/>
      </c>
      <c r="G93" s="22" t="str">
        <f aca="false">IF($F93="","",MAX(0,ROUND($E93*100,0)-ROUND($F93*100,0))/100)</f>
        <v/>
      </c>
      <c r="H93" s="22" t="str">
        <f aca="false">IF($F93="","",MAX(0,ROUND($F93*100,0)-ROUND($E93*100,0))/100)</f>
        <v/>
      </c>
      <c r="I93" s="24" t="str">
        <f aca="false">IF($F93="","Capacity not set",IF(ROUND($F93*100,0)=0,IF($D93&gt;0,"Over capacity","Closed"),IF($D93=0,"No visits",IF(ROUND($E93*100,0)&gt;ROUND($F93*100,0),"Over capacity",IF(ROUND($E93*100,0)=ROUND($F93*100,0),"Full","Room available")))))</f>
        <v>Capacity not set</v>
      </c>
    </row>
    <row r="94" customFormat="false" ht="15" hidden="false" customHeight="false" outlineLevel="0" collapsed="false">
      <c r="A94" s="21" t="n">
        <f aca="false">WinStart+58</f>
        <v>46372</v>
      </c>
      <c r="B94" s="23" t="str">
        <f aca="false">CHOOSE(WEEKDAY($A94,2),"Mon","Tue","Wed","Thu","Fri","Sat","Sun")</f>
        <v>Wed</v>
      </c>
      <c r="C94" s="23" t="n">
        <v>9</v>
      </c>
      <c r="D94" s="23" t="n">
        <f aca="false">SUMPRODUCT((Customers!$J$12:$J$311=1)*($A94&gt;=Customers!$K$12:$K$311)*(MOD($A94-Customers!$K$12:$K$311,Customers!$L$12:$L$311)=0)*($A94&lt;=Customers!$M$12:$M$311))</f>
        <v>0</v>
      </c>
      <c r="E94" s="22" t="n">
        <f aca="false">SUMPRODUCT((Customers!$J$12:$J$311=1)*($A94&gt;=Customers!$K$12:$K$311)*(MOD($A94-Customers!$K$12:$K$311,Customers!$L$12:$L$311)=0)*($A94&lt;=Customers!$M$12:$M$311)*Customers!$N$12:$N$311)/100</f>
        <v>0</v>
      </c>
      <c r="F94" s="22" t="str">
        <f aca="false">IF(OR(INDEX($B$7:$H$7,WEEKDAY($A94,2))="OK",INDEX($B$7:$H$7,WEEKDAY($A94,2))="Closed"),INDEX($B$6:$H$6,WEEKDAY($A94,2)),"")</f>
        <v/>
      </c>
      <c r="G94" s="22" t="str">
        <f aca="false">IF($F94="","",MAX(0,ROUND($E94*100,0)-ROUND($F94*100,0))/100)</f>
        <v/>
      </c>
      <c r="H94" s="22" t="str">
        <f aca="false">IF($F94="","",MAX(0,ROUND($F94*100,0)-ROUND($E94*100,0))/100)</f>
        <v/>
      </c>
      <c r="I94" s="24" t="str">
        <f aca="false">IF($F94="","Capacity not set",IF(ROUND($F94*100,0)=0,IF($D94&gt;0,"Over capacity","Closed"),IF($D94=0,"No visits",IF(ROUND($E94*100,0)&gt;ROUND($F94*100,0),"Over capacity",IF(ROUND($E94*100,0)=ROUND($F94*100,0),"Full","Room available")))))</f>
        <v>Capacity not set</v>
      </c>
    </row>
    <row r="95" customFormat="false" ht="15" hidden="false" customHeight="false" outlineLevel="0" collapsed="false">
      <c r="A95" s="21" t="n">
        <f aca="false">WinStart+59</f>
        <v>46373</v>
      </c>
      <c r="B95" s="23" t="str">
        <f aca="false">CHOOSE(WEEKDAY($A95,2),"Mon","Tue","Wed","Thu","Fri","Sat","Sun")</f>
        <v>Thu</v>
      </c>
      <c r="C95" s="23" t="n">
        <v>9</v>
      </c>
      <c r="D95" s="23" t="n">
        <f aca="false">SUMPRODUCT((Customers!$J$12:$J$311=1)*($A95&gt;=Customers!$K$12:$K$311)*(MOD($A95-Customers!$K$12:$K$311,Customers!$L$12:$L$311)=0)*($A95&lt;=Customers!$M$12:$M$311))</f>
        <v>0</v>
      </c>
      <c r="E95" s="22" t="n">
        <f aca="false">SUMPRODUCT((Customers!$J$12:$J$311=1)*($A95&gt;=Customers!$K$12:$K$311)*(MOD($A95-Customers!$K$12:$K$311,Customers!$L$12:$L$311)=0)*($A95&lt;=Customers!$M$12:$M$311)*Customers!$N$12:$N$311)/100</f>
        <v>0</v>
      </c>
      <c r="F95" s="22" t="str">
        <f aca="false">IF(OR(INDEX($B$7:$H$7,WEEKDAY($A95,2))="OK",INDEX($B$7:$H$7,WEEKDAY($A95,2))="Closed"),INDEX($B$6:$H$6,WEEKDAY($A95,2)),"")</f>
        <v/>
      </c>
      <c r="G95" s="22" t="str">
        <f aca="false">IF($F95="","",MAX(0,ROUND($E95*100,0)-ROUND($F95*100,0))/100)</f>
        <v/>
      </c>
      <c r="H95" s="22" t="str">
        <f aca="false">IF($F95="","",MAX(0,ROUND($F95*100,0)-ROUND($E95*100,0))/100)</f>
        <v/>
      </c>
      <c r="I95" s="24" t="str">
        <f aca="false">IF($F95="","Capacity not set",IF(ROUND($F95*100,0)=0,IF($D95&gt;0,"Over capacity","Closed"),IF($D95=0,"No visits",IF(ROUND($E95*100,0)&gt;ROUND($F95*100,0),"Over capacity",IF(ROUND($E95*100,0)=ROUND($F95*100,0),"Full","Room available")))))</f>
        <v>Capacity not set</v>
      </c>
    </row>
    <row r="96" customFormat="false" ht="15" hidden="false" customHeight="false" outlineLevel="0" collapsed="false">
      <c r="A96" s="21" t="n">
        <f aca="false">WinStart+60</f>
        <v>46374</v>
      </c>
      <c r="B96" s="23" t="str">
        <f aca="false">CHOOSE(WEEKDAY($A96,2),"Mon","Tue","Wed","Thu","Fri","Sat","Sun")</f>
        <v>Fri</v>
      </c>
      <c r="C96" s="23" t="n">
        <v>9</v>
      </c>
      <c r="D96" s="23" t="n">
        <f aca="false">SUMPRODUCT((Customers!$J$12:$J$311=1)*($A96&gt;=Customers!$K$12:$K$311)*(MOD($A96-Customers!$K$12:$K$311,Customers!$L$12:$L$311)=0)*($A96&lt;=Customers!$M$12:$M$311))</f>
        <v>0</v>
      </c>
      <c r="E96" s="22" t="n">
        <f aca="false">SUMPRODUCT((Customers!$J$12:$J$311=1)*($A96&gt;=Customers!$K$12:$K$311)*(MOD($A96-Customers!$K$12:$K$311,Customers!$L$12:$L$311)=0)*($A96&lt;=Customers!$M$12:$M$311)*Customers!$N$12:$N$311)/100</f>
        <v>0</v>
      </c>
      <c r="F96" s="22" t="str">
        <f aca="false">IF(OR(INDEX($B$7:$H$7,WEEKDAY($A96,2))="OK",INDEX($B$7:$H$7,WEEKDAY($A96,2))="Closed"),INDEX($B$6:$H$6,WEEKDAY($A96,2)),"")</f>
        <v/>
      </c>
      <c r="G96" s="22" t="str">
        <f aca="false">IF($F96="","",MAX(0,ROUND($E96*100,0)-ROUND($F96*100,0))/100)</f>
        <v/>
      </c>
      <c r="H96" s="22" t="str">
        <f aca="false">IF($F96="","",MAX(0,ROUND($F96*100,0)-ROUND($E96*100,0))/100)</f>
        <v/>
      </c>
      <c r="I96" s="24" t="str">
        <f aca="false">IF($F96="","Capacity not set",IF(ROUND($F96*100,0)=0,IF($D96&gt;0,"Over capacity","Closed"),IF($D96=0,"No visits",IF(ROUND($E96*100,0)&gt;ROUND($F96*100,0),"Over capacity",IF(ROUND($E96*100,0)=ROUND($F96*100,0),"Full","Room available")))))</f>
        <v>Capacity not set</v>
      </c>
    </row>
    <row r="97" customFormat="false" ht="15" hidden="false" customHeight="false" outlineLevel="0" collapsed="false">
      <c r="A97" s="21" t="n">
        <f aca="false">WinStart+61</f>
        <v>46375</v>
      </c>
      <c r="B97" s="23" t="str">
        <f aca="false">CHOOSE(WEEKDAY($A97,2),"Mon","Tue","Wed","Thu","Fri","Sat","Sun")</f>
        <v>Sat</v>
      </c>
      <c r="C97" s="23" t="n">
        <v>9</v>
      </c>
      <c r="D97" s="23" t="n">
        <f aca="false">SUMPRODUCT((Customers!$J$12:$J$311=1)*($A97&gt;=Customers!$K$12:$K$311)*(MOD($A97-Customers!$K$12:$K$311,Customers!$L$12:$L$311)=0)*($A97&lt;=Customers!$M$12:$M$311))</f>
        <v>0</v>
      </c>
      <c r="E97" s="22" t="n">
        <f aca="false">SUMPRODUCT((Customers!$J$12:$J$311=1)*($A97&gt;=Customers!$K$12:$K$311)*(MOD($A97-Customers!$K$12:$K$311,Customers!$L$12:$L$311)=0)*($A97&lt;=Customers!$M$12:$M$311)*Customers!$N$12:$N$311)/100</f>
        <v>0</v>
      </c>
      <c r="F97" s="22" t="str">
        <f aca="false">IF(OR(INDEX($B$7:$H$7,WEEKDAY($A97,2))="OK",INDEX($B$7:$H$7,WEEKDAY($A97,2))="Closed"),INDEX($B$6:$H$6,WEEKDAY($A97,2)),"")</f>
        <v/>
      </c>
      <c r="G97" s="22" t="str">
        <f aca="false">IF($F97="","",MAX(0,ROUND($E97*100,0)-ROUND($F97*100,0))/100)</f>
        <v/>
      </c>
      <c r="H97" s="22" t="str">
        <f aca="false">IF($F97="","",MAX(0,ROUND($F97*100,0)-ROUND($E97*100,0))/100)</f>
        <v/>
      </c>
      <c r="I97" s="24" t="str">
        <f aca="false">IF($F97="","Capacity not set",IF(ROUND($F97*100,0)=0,IF($D97&gt;0,"Over capacity","Closed"),IF($D97=0,"No visits",IF(ROUND($E97*100,0)&gt;ROUND($F97*100,0),"Over capacity",IF(ROUND($E97*100,0)=ROUND($F97*100,0),"Full","Room available")))))</f>
        <v>Capacity not set</v>
      </c>
    </row>
    <row r="98" customFormat="false" ht="15" hidden="false" customHeight="false" outlineLevel="0" collapsed="false">
      <c r="A98" s="25" t="n">
        <f aca="false">WinStart+62</f>
        <v>46376</v>
      </c>
      <c r="B98" s="26" t="str">
        <f aca="false">CHOOSE(WEEKDAY($A98,2),"Mon","Tue","Wed","Thu","Fri","Sat","Sun")</f>
        <v>Sun</v>
      </c>
      <c r="C98" s="26" t="n">
        <v>9</v>
      </c>
      <c r="D98" s="26" t="n">
        <f aca="false">SUMPRODUCT((Customers!$J$12:$J$311=1)*($A98&gt;=Customers!$K$12:$K$311)*(MOD($A98-Customers!$K$12:$K$311,Customers!$L$12:$L$311)=0)*($A98&lt;=Customers!$M$12:$M$311))</f>
        <v>0</v>
      </c>
      <c r="E98" s="27" t="n">
        <f aca="false">SUMPRODUCT((Customers!$J$12:$J$311=1)*($A98&gt;=Customers!$K$12:$K$311)*(MOD($A98-Customers!$K$12:$K$311,Customers!$L$12:$L$311)=0)*($A98&lt;=Customers!$M$12:$M$311)*Customers!$N$12:$N$311)/100</f>
        <v>0</v>
      </c>
      <c r="F98" s="27" t="str">
        <f aca="false">IF(OR(INDEX($B$7:$H$7,WEEKDAY($A98,2))="OK",INDEX($B$7:$H$7,WEEKDAY($A98,2))="Closed"),INDEX($B$6:$H$6,WEEKDAY($A98,2)),"")</f>
        <v/>
      </c>
      <c r="G98" s="27" t="str">
        <f aca="false">IF($F98="","",MAX(0,ROUND($E98*100,0)-ROUND($F98*100,0))/100)</f>
        <v/>
      </c>
      <c r="H98" s="27" t="str">
        <f aca="false">IF($F98="","",MAX(0,ROUND($F98*100,0)-ROUND($E98*100,0))/100)</f>
        <v/>
      </c>
      <c r="I98" s="28" t="str">
        <f aca="false">IF($F98="","Capacity not set",IF(ROUND($F98*100,0)=0,IF($D98&gt;0,"Over capacity","Closed"),IF($D98=0,"No visits",IF(ROUND($E98*100,0)&gt;ROUND($F98*100,0),"Over capacity",IF(ROUND($E98*100,0)=ROUND($F98*100,0),"Full","Room available")))))</f>
        <v>Capacity not set</v>
      </c>
    </row>
    <row r="99" customFormat="false" ht="15" hidden="false" customHeight="false" outlineLevel="0" collapsed="false">
      <c r="A99" s="21" t="n">
        <f aca="false">WinStart+63</f>
        <v>46377</v>
      </c>
      <c r="B99" s="23" t="str">
        <f aca="false">CHOOSE(WEEKDAY($A99,2),"Mon","Tue","Wed","Thu","Fri","Sat","Sun")</f>
        <v>Mon</v>
      </c>
      <c r="C99" s="23" t="n">
        <v>10</v>
      </c>
      <c r="D99" s="23" t="n">
        <f aca="false">SUMPRODUCT((Customers!$J$12:$J$311=1)*($A99&gt;=Customers!$K$12:$K$311)*(MOD($A99-Customers!$K$12:$K$311,Customers!$L$12:$L$311)=0)*($A99&lt;=Customers!$M$12:$M$311))</f>
        <v>0</v>
      </c>
      <c r="E99" s="22" t="n">
        <f aca="false">SUMPRODUCT((Customers!$J$12:$J$311=1)*($A99&gt;=Customers!$K$12:$K$311)*(MOD($A99-Customers!$K$12:$K$311,Customers!$L$12:$L$311)=0)*($A99&lt;=Customers!$M$12:$M$311)*Customers!$N$12:$N$311)/100</f>
        <v>0</v>
      </c>
      <c r="F99" s="22" t="str">
        <f aca="false">IF(OR(INDEX($B$7:$H$7,WEEKDAY($A99,2))="OK",INDEX($B$7:$H$7,WEEKDAY($A99,2))="Closed"),INDEX($B$6:$H$6,WEEKDAY($A99,2)),"")</f>
        <v/>
      </c>
      <c r="G99" s="22" t="str">
        <f aca="false">IF($F99="","",MAX(0,ROUND($E99*100,0)-ROUND($F99*100,0))/100)</f>
        <v/>
      </c>
      <c r="H99" s="22" t="str">
        <f aca="false">IF($F99="","",MAX(0,ROUND($F99*100,0)-ROUND($E99*100,0))/100)</f>
        <v/>
      </c>
      <c r="I99" s="24" t="str">
        <f aca="false">IF($F99="","Capacity not set",IF(ROUND($F99*100,0)=0,IF($D99&gt;0,"Over capacity","Closed"),IF($D99=0,"No visits",IF(ROUND($E99*100,0)&gt;ROUND($F99*100,0),"Over capacity",IF(ROUND($E99*100,0)=ROUND($F99*100,0),"Full","Room available")))))</f>
        <v>Capacity not set</v>
      </c>
    </row>
    <row r="100" customFormat="false" ht="15" hidden="false" customHeight="false" outlineLevel="0" collapsed="false">
      <c r="A100" s="21" t="n">
        <f aca="false">WinStart+64</f>
        <v>46378</v>
      </c>
      <c r="B100" s="23" t="str">
        <f aca="false">CHOOSE(WEEKDAY($A100,2),"Mon","Tue","Wed","Thu","Fri","Sat","Sun")</f>
        <v>Tue</v>
      </c>
      <c r="C100" s="23" t="n">
        <v>10</v>
      </c>
      <c r="D100" s="23" t="n">
        <f aca="false">SUMPRODUCT((Customers!$J$12:$J$311=1)*($A100&gt;=Customers!$K$12:$K$311)*(MOD($A100-Customers!$K$12:$K$311,Customers!$L$12:$L$311)=0)*($A100&lt;=Customers!$M$12:$M$311))</f>
        <v>0</v>
      </c>
      <c r="E100" s="22" t="n">
        <f aca="false">SUMPRODUCT((Customers!$J$12:$J$311=1)*($A100&gt;=Customers!$K$12:$K$311)*(MOD($A100-Customers!$K$12:$K$311,Customers!$L$12:$L$311)=0)*($A100&lt;=Customers!$M$12:$M$311)*Customers!$N$12:$N$311)/100</f>
        <v>0</v>
      </c>
      <c r="F100" s="22" t="str">
        <f aca="false">IF(OR(INDEX($B$7:$H$7,WEEKDAY($A100,2))="OK",INDEX($B$7:$H$7,WEEKDAY($A100,2))="Closed"),INDEX($B$6:$H$6,WEEKDAY($A100,2)),"")</f>
        <v/>
      </c>
      <c r="G100" s="22" t="str">
        <f aca="false">IF($F100="","",MAX(0,ROUND($E100*100,0)-ROUND($F100*100,0))/100)</f>
        <v/>
      </c>
      <c r="H100" s="22" t="str">
        <f aca="false">IF($F100="","",MAX(0,ROUND($F100*100,0)-ROUND($E100*100,0))/100)</f>
        <v/>
      </c>
      <c r="I100" s="24" t="str">
        <f aca="false">IF($F100="","Capacity not set",IF(ROUND($F100*100,0)=0,IF($D100&gt;0,"Over capacity","Closed"),IF($D100=0,"No visits",IF(ROUND($E100*100,0)&gt;ROUND($F100*100,0),"Over capacity",IF(ROUND($E100*100,0)=ROUND($F100*100,0),"Full","Room available")))))</f>
        <v>Capacity not set</v>
      </c>
    </row>
    <row r="101" customFormat="false" ht="15" hidden="false" customHeight="false" outlineLevel="0" collapsed="false">
      <c r="A101" s="21" t="n">
        <f aca="false">WinStart+65</f>
        <v>46379</v>
      </c>
      <c r="B101" s="23" t="str">
        <f aca="false">CHOOSE(WEEKDAY($A101,2),"Mon","Tue","Wed","Thu","Fri","Sat","Sun")</f>
        <v>Wed</v>
      </c>
      <c r="C101" s="23" t="n">
        <v>10</v>
      </c>
      <c r="D101" s="23" t="n">
        <f aca="false">SUMPRODUCT((Customers!$J$12:$J$311=1)*($A101&gt;=Customers!$K$12:$K$311)*(MOD($A101-Customers!$K$12:$K$311,Customers!$L$12:$L$311)=0)*($A101&lt;=Customers!$M$12:$M$311))</f>
        <v>0</v>
      </c>
      <c r="E101" s="22" t="n">
        <f aca="false">SUMPRODUCT((Customers!$J$12:$J$311=1)*($A101&gt;=Customers!$K$12:$K$311)*(MOD($A101-Customers!$K$12:$K$311,Customers!$L$12:$L$311)=0)*($A101&lt;=Customers!$M$12:$M$311)*Customers!$N$12:$N$311)/100</f>
        <v>0</v>
      </c>
      <c r="F101" s="22" t="str">
        <f aca="false">IF(OR(INDEX($B$7:$H$7,WEEKDAY($A101,2))="OK",INDEX($B$7:$H$7,WEEKDAY($A101,2))="Closed"),INDEX($B$6:$H$6,WEEKDAY($A101,2)),"")</f>
        <v/>
      </c>
      <c r="G101" s="22" t="str">
        <f aca="false">IF($F101="","",MAX(0,ROUND($E101*100,0)-ROUND($F101*100,0))/100)</f>
        <v/>
      </c>
      <c r="H101" s="22" t="str">
        <f aca="false">IF($F101="","",MAX(0,ROUND($F101*100,0)-ROUND($E101*100,0))/100)</f>
        <v/>
      </c>
      <c r="I101" s="24" t="str">
        <f aca="false">IF($F101="","Capacity not set",IF(ROUND($F101*100,0)=0,IF($D101&gt;0,"Over capacity","Closed"),IF($D101=0,"No visits",IF(ROUND($E101*100,0)&gt;ROUND($F101*100,0),"Over capacity",IF(ROUND($E101*100,0)=ROUND($F101*100,0),"Full","Room available")))))</f>
        <v>Capacity not set</v>
      </c>
    </row>
    <row r="102" customFormat="false" ht="15" hidden="false" customHeight="false" outlineLevel="0" collapsed="false">
      <c r="A102" s="21" t="n">
        <f aca="false">WinStart+66</f>
        <v>46380</v>
      </c>
      <c r="B102" s="23" t="str">
        <f aca="false">CHOOSE(WEEKDAY($A102,2),"Mon","Tue","Wed","Thu","Fri","Sat","Sun")</f>
        <v>Thu</v>
      </c>
      <c r="C102" s="23" t="n">
        <v>10</v>
      </c>
      <c r="D102" s="23" t="n">
        <f aca="false">SUMPRODUCT((Customers!$J$12:$J$311=1)*($A102&gt;=Customers!$K$12:$K$311)*(MOD($A102-Customers!$K$12:$K$311,Customers!$L$12:$L$311)=0)*($A102&lt;=Customers!$M$12:$M$311))</f>
        <v>0</v>
      </c>
      <c r="E102" s="22" t="n">
        <f aca="false">SUMPRODUCT((Customers!$J$12:$J$311=1)*($A102&gt;=Customers!$K$12:$K$311)*(MOD($A102-Customers!$K$12:$K$311,Customers!$L$12:$L$311)=0)*($A102&lt;=Customers!$M$12:$M$311)*Customers!$N$12:$N$311)/100</f>
        <v>0</v>
      </c>
      <c r="F102" s="22" t="str">
        <f aca="false">IF(OR(INDEX($B$7:$H$7,WEEKDAY($A102,2))="OK",INDEX($B$7:$H$7,WEEKDAY($A102,2))="Closed"),INDEX($B$6:$H$6,WEEKDAY($A102,2)),"")</f>
        <v/>
      </c>
      <c r="G102" s="22" t="str">
        <f aca="false">IF($F102="","",MAX(0,ROUND($E102*100,0)-ROUND($F102*100,0))/100)</f>
        <v/>
      </c>
      <c r="H102" s="22" t="str">
        <f aca="false">IF($F102="","",MAX(0,ROUND($F102*100,0)-ROUND($E102*100,0))/100)</f>
        <v/>
      </c>
      <c r="I102" s="24" t="str">
        <f aca="false">IF($F102="","Capacity not set",IF(ROUND($F102*100,0)=0,IF($D102&gt;0,"Over capacity","Closed"),IF($D102=0,"No visits",IF(ROUND($E102*100,0)&gt;ROUND($F102*100,0),"Over capacity",IF(ROUND($E102*100,0)=ROUND($F102*100,0),"Full","Room available")))))</f>
        <v>Capacity not set</v>
      </c>
    </row>
    <row r="103" customFormat="false" ht="15" hidden="false" customHeight="false" outlineLevel="0" collapsed="false">
      <c r="A103" s="21" t="n">
        <f aca="false">WinStart+67</f>
        <v>46381</v>
      </c>
      <c r="B103" s="23" t="str">
        <f aca="false">CHOOSE(WEEKDAY($A103,2),"Mon","Tue","Wed","Thu","Fri","Sat","Sun")</f>
        <v>Fri</v>
      </c>
      <c r="C103" s="23" t="n">
        <v>10</v>
      </c>
      <c r="D103" s="23" t="n">
        <f aca="false">SUMPRODUCT((Customers!$J$12:$J$311=1)*($A103&gt;=Customers!$K$12:$K$311)*(MOD($A103-Customers!$K$12:$K$311,Customers!$L$12:$L$311)=0)*($A103&lt;=Customers!$M$12:$M$311))</f>
        <v>0</v>
      </c>
      <c r="E103" s="22" t="n">
        <f aca="false">SUMPRODUCT((Customers!$J$12:$J$311=1)*($A103&gt;=Customers!$K$12:$K$311)*(MOD($A103-Customers!$K$12:$K$311,Customers!$L$12:$L$311)=0)*($A103&lt;=Customers!$M$12:$M$311)*Customers!$N$12:$N$311)/100</f>
        <v>0</v>
      </c>
      <c r="F103" s="22" t="str">
        <f aca="false">IF(OR(INDEX($B$7:$H$7,WEEKDAY($A103,2))="OK",INDEX($B$7:$H$7,WEEKDAY($A103,2))="Closed"),INDEX($B$6:$H$6,WEEKDAY($A103,2)),"")</f>
        <v/>
      </c>
      <c r="G103" s="22" t="str">
        <f aca="false">IF($F103="","",MAX(0,ROUND($E103*100,0)-ROUND($F103*100,0))/100)</f>
        <v/>
      </c>
      <c r="H103" s="22" t="str">
        <f aca="false">IF($F103="","",MAX(0,ROUND($F103*100,0)-ROUND($E103*100,0))/100)</f>
        <v/>
      </c>
      <c r="I103" s="24" t="str">
        <f aca="false">IF($F103="","Capacity not set",IF(ROUND($F103*100,0)=0,IF($D103&gt;0,"Over capacity","Closed"),IF($D103=0,"No visits",IF(ROUND($E103*100,0)&gt;ROUND($F103*100,0),"Over capacity",IF(ROUND($E103*100,0)=ROUND($F103*100,0),"Full","Room available")))))</f>
        <v>Capacity not set</v>
      </c>
    </row>
    <row r="104" customFormat="false" ht="15" hidden="false" customHeight="false" outlineLevel="0" collapsed="false">
      <c r="A104" s="21" t="n">
        <f aca="false">WinStart+68</f>
        <v>46382</v>
      </c>
      <c r="B104" s="23" t="str">
        <f aca="false">CHOOSE(WEEKDAY($A104,2),"Mon","Tue","Wed","Thu","Fri","Sat","Sun")</f>
        <v>Sat</v>
      </c>
      <c r="C104" s="23" t="n">
        <v>10</v>
      </c>
      <c r="D104" s="23" t="n">
        <f aca="false">SUMPRODUCT((Customers!$J$12:$J$311=1)*($A104&gt;=Customers!$K$12:$K$311)*(MOD($A104-Customers!$K$12:$K$311,Customers!$L$12:$L$311)=0)*($A104&lt;=Customers!$M$12:$M$311))</f>
        <v>0</v>
      </c>
      <c r="E104" s="22" t="n">
        <f aca="false">SUMPRODUCT((Customers!$J$12:$J$311=1)*($A104&gt;=Customers!$K$12:$K$311)*(MOD($A104-Customers!$K$12:$K$311,Customers!$L$12:$L$311)=0)*($A104&lt;=Customers!$M$12:$M$311)*Customers!$N$12:$N$311)/100</f>
        <v>0</v>
      </c>
      <c r="F104" s="22" t="str">
        <f aca="false">IF(OR(INDEX($B$7:$H$7,WEEKDAY($A104,2))="OK",INDEX($B$7:$H$7,WEEKDAY($A104,2))="Closed"),INDEX($B$6:$H$6,WEEKDAY($A104,2)),"")</f>
        <v/>
      </c>
      <c r="G104" s="22" t="str">
        <f aca="false">IF($F104="","",MAX(0,ROUND($E104*100,0)-ROUND($F104*100,0))/100)</f>
        <v/>
      </c>
      <c r="H104" s="22" t="str">
        <f aca="false">IF($F104="","",MAX(0,ROUND($F104*100,0)-ROUND($E104*100,0))/100)</f>
        <v/>
      </c>
      <c r="I104" s="24" t="str">
        <f aca="false">IF($F104="","Capacity not set",IF(ROUND($F104*100,0)=0,IF($D104&gt;0,"Over capacity","Closed"),IF($D104=0,"No visits",IF(ROUND($E104*100,0)&gt;ROUND($F104*100,0),"Over capacity",IF(ROUND($E104*100,0)=ROUND($F104*100,0),"Full","Room available")))))</f>
        <v>Capacity not set</v>
      </c>
    </row>
    <row r="105" customFormat="false" ht="15" hidden="false" customHeight="false" outlineLevel="0" collapsed="false">
      <c r="A105" s="25" t="n">
        <f aca="false">WinStart+69</f>
        <v>46383</v>
      </c>
      <c r="B105" s="26" t="str">
        <f aca="false">CHOOSE(WEEKDAY($A105,2),"Mon","Tue","Wed","Thu","Fri","Sat","Sun")</f>
        <v>Sun</v>
      </c>
      <c r="C105" s="26" t="n">
        <v>10</v>
      </c>
      <c r="D105" s="26" t="n">
        <f aca="false">SUMPRODUCT((Customers!$J$12:$J$311=1)*($A105&gt;=Customers!$K$12:$K$311)*(MOD($A105-Customers!$K$12:$K$311,Customers!$L$12:$L$311)=0)*($A105&lt;=Customers!$M$12:$M$311))</f>
        <v>0</v>
      </c>
      <c r="E105" s="27" t="n">
        <f aca="false">SUMPRODUCT((Customers!$J$12:$J$311=1)*($A105&gt;=Customers!$K$12:$K$311)*(MOD($A105-Customers!$K$12:$K$311,Customers!$L$12:$L$311)=0)*($A105&lt;=Customers!$M$12:$M$311)*Customers!$N$12:$N$311)/100</f>
        <v>0</v>
      </c>
      <c r="F105" s="27" t="str">
        <f aca="false">IF(OR(INDEX($B$7:$H$7,WEEKDAY($A105,2))="OK",INDEX($B$7:$H$7,WEEKDAY($A105,2))="Closed"),INDEX($B$6:$H$6,WEEKDAY($A105,2)),"")</f>
        <v/>
      </c>
      <c r="G105" s="27" t="str">
        <f aca="false">IF($F105="","",MAX(0,ROUND($E105*100,0)-ROUND($F105*100,0))/100)</f>
        <v/>
      </c>
      <c r="H105" s="27" t="str">
        <f aca="false">IF($F105="","",MAX(0,ROUND($F105*100,0)-ROUND($E105*100,0))/100)</f>
        <v/>
      </c>
      <c r="I105" s="28" t="str">
        <f aca="false">IF($F105="","Capacity not set",IF(ROUND($F105*100,0)=0,IF($D105&gt;0,"Over capacity","Closed"),IF($D105=0,"No visits",IF(ROUND($E105*100,0)&gt;ROUND($F105*100,0),"Over capacity",IF(ROUND($E105*100,0)=ROUND($F105*100,0),"Full","Room available")))))</f>
        <v>Capacity not set</v>
      </c>
    </row>
    <row r="106" customFormat="false" ht="15" hidden="false" customHeight="false" outlineLevel="0" collapsed="false">
      <c r="A106" s="21" t="n">
        <f aca="false">WinStart+70</f>
        <v>46384</v>
      </c>
      <c r="B106" s="23" t="str">
        <f aca="false">CHOOSE(WEEKDAY($A106,2),"Mon","Tue","Wed","Thu","Fri","Sat","Sun")</f>
        <v>Mon</v>
      </c>
      <c r="C106" s="23" t="n">
        <v>11</v>
      </c>
      <c r="D106" s="23" t="n">
        <f aca="false">SUMPRODUCT((Customers!$J$12:$J$311=1)*($A106&gt;=Customers!$K$12:$K$311)*(MOD($A106-Customers!$K$12:$K$311,Customers!$L$12:$L$311)=0)*($A106&lt;=Customers!$M$12:$M$311))</f>
        <v>0</v>
      </c>
      <c r="E106" s="22" t="n">
        <f aca="false">SUMPRODUCT((Customers!$J$12:$J$311=1)*($A106&gt;=Customers!$K$12:$K$311)*(MOD($A106-Customers!$K$12:$K$311,Customers!$L$12:$L$311)=0)*($A106&lt;=Customers!$M$12:$M$311)*Customers!$N$12:$N$311)/100</f>
        <v>0</v>
      </c>
      <c r="F106" s="22" t="str">
        <f aca="false">IF(OR(INDEX($B$7:$H$7,WEEKDAY($A106,2))="OK",INDEX($B$7:$H$7,WEEKDAY($A106,2))="Closed"),INDEX($B$6:$H$6,WEEKDAY($A106,2)),"")</f>
        <v/>
      </c>
      <c r="G106" s="22" t="str">
        <f aca="false">IF($F106="","",MAX(0,ROUND($E106*100,0)-ROUND($F106*100,0))/100)</f>
        <v/>
      </c>
      <c r="H106" s="22" t="str">
        <f aca="false">IF($F106="","",MAX(0,ROUND($F106*100,0)-ROUND($E106*100,0))/100)</f>
        <v/>
      </c>
      <c r="I106" s="24" t="str">
        <f aca="false">IF($F106="","Capacity not set",IF(ROUND($F106*100,0)=0,IF($D106&gt;0,"Over capacity","Closed"),IF($D106=0,"No visits",IF(ROUND($E106*100,0)&gt;ROUND($F106*100,0),"Over capacity",IF(ROUND($E106*100,0)=ROUND($F106*100,0),"Full","Room available")))))</f>
        <v>Capacity not set</v>
      </c>
    </row>
    <row r="107" customFormat="false" ht="15" hidden="false" customHeight="false" outlineLevel="0" collapsed="false">
      <c r="A107" s="21" t="n">
        <f aca="false">WinStart+71</f>
        <v>46385</v>
      </c>
      <c r="B107" s="23" t="str">
        <f aca="false">CHOOSE(WEEKDAY($A107,2),"Mon","Tue","Wed","Thu","Fri","Sat","Sun")</f>
        <v>Tue</v>
      </c>
      <c r="C107" s="23" t="n">
        <v>11</v>
      </c>
      <c r="D107" s="23" t="n">
        <f aca="false">SUMPRODUCT((Customers!$J$12:$J$311=1)*($A107&gt;=Customers!$K$12:$K$311)*(MOD($A107-Customers!$K$12:$K$311,Customers!$L$12:$L$311)=0)*($A107&lt;=Customers!$M$12:$M$311))</f>
        <v>0</v>
      </c>
      <c r="E107" s="22" t="n">
        <f aca="false">SUMPRODUCT((Customers!$J$12:$J$311=1)*($A107&gt;=Customers!$K$12:$K$311)*(MOD($A107-Customers!$K$12:$K$311,Customers!$L$12:$L$311)=0)*($A107&lt;=Customers!$M$12:$M$311)*Customers!$N$12:$N$311)/100</f>
        <v>0</v>
      </c>
      <c r="F107" s="22" t="str">
        <f aca="false">IF(OR(INDEX($B$7:$H$7,WEEKDAY($A107,2))="OK",INDEX($B$7:$H$7,WEEKDAY($A107,2))="Closed"),INDEX($B$6:$H$6,WEEKDAY($A107,2)),"")</f>
        <v/>
      </c>
      <c r="G107" s="22" t="str">
        <f aca="false">IF($F107="","",MAX(0,ROUND($E107*100,0)-ROUND($F107*100,0))/100)</f>
        <v/>
      </c>
      <c r="H107" s="22" t="str">
        <f aca="false">IF($F107="","",MAX(0,ROUND($F107*100,0)-ROUND($E107*100,0))/100)</f>
        <v/>
      </c>
      <c r="I107" s="24" t="str">
        <f aca="false">IF($F107="","Capacity not set",IF(ROUND($F107*100,0)=0,IF($D107&gt;0,"Over capacity","Closed"),IF($D107=0,"No visits",IF(ROUND($E107*100,0)&gt;ROUND($F107*100,0),"Over capacity",IF(ROUND($E107*100,0)=ROUND($F107*100,0),"Full","Room available")))))</f>
        <v>Capacity not set</v>
      </c>
    </row>
    <row r="108" customFormat="false" ht="15" hidden="false" customHeight="false" outlineLevel="0" collapsed="false">
      <c r="A108" s="21" t="n">
        <f aca="false">WinStart+72</f>
        <v>46386</v>
      </c>
      <c r="B108" s="23" t="str">
        <f aca="false">CHOOSE(WEEKDAY($A108,2),"Mon","Tue","Wed","Thu","Fri","Sat","Sun")</f>
        <v>Wed</v>
      </c>
      <c r="C108" s="23" t="n">
        <v>11</v>
      </c>
      <c r="D108" s="23" t="n">
        <f aca="false">SUMPRODUCT((Customers!$J$12:$J$311=1)*($A108&gt;=Customers!$K$12:$K$311)*(MOD($A108-Customers!$K$12:$K$311,Customers!$L$12:$L$311)=0)*($A108&lt;=Customers!$M$12:$M$311))</f>
        <v>0</v>
      </c>
      <c r="E108" s="22" t="n">
        <f aca="false">SUMPRODUCT((Customers!$J$12:$J$311=1)*($A108&gt;=Customers!$K$12:$K$311)*(MOD($A108-Customers!$K$12:$K$311,Customers!$L$12:$L$311)=0)*($A108&lt;=Customers!$M$12:$M$311)*Customers!$N$12:$N$311)/100</f>
        <v>0</v>
      </c>
      <c r="F108" s="22" t="str">
        <f aca="false">IF(OR(INDEX($B$7:$H$7,WEEKDAY($A108,2))="OK",INDEX($B$7:$H$7,WEEKDAY($A108,2))="Closed"),INDEX($B$6:$H$6,WEEKDAY($A108,2)),"")</f>
        <v/>
      </c>
      <c r="G108" s="22" t="str">
        <f aca="false">IF($F108="","",MAX(0,ROUND($E108*100,0)-ROUND($F108*100,0))/100)</f>
        <v/>
      </c>
      <c r="H108" s="22" t="str">
        <f aca="false">IF($F108="","",MAX(0,ROUND($F108*100,0)-ROUND($E108*100,0))/100)</f>
        <v/>
      </c>
      <c r="I108" s="24" t="str">
        <f aca="false">IF($F108="","Capacity not set",IF(ROUND($F108*100,0)=0,IF($D108&gt;0,"Over capacity","Closed"),IF($D108=0,"No visits",IF(ROUND($E108*100,0)&gt;ROUND($F108*100,0),"Over capacity",IF(ROUND($E108*100,0)=ROUND($F108*100,0),"Full","Room available")))))</f>
        <v>Capacity not set</v>
      </c>
    </row>
    <row r="109" customFormat="false" ht="15" hidden="false" customHeight="false" outlineLevel="0" collapsed="false">
      <c r="A109" s="21" t="n">
        <f aca="false">WinStart+73</f>
        <v>46387</v>
      </c>
      <c r="B109" s="23" t="str">
        <f aca="false">CHOOSE(WEEKDAY($A109,2),"Mon","Tue","Wed","Thu","Fri","Sat","Sun")</f>
        <v>Thu</v>
      </c>
      <c r="C109" s="23" t="n">
        <v>11</v>
      </c>
      <c r="D109" s="23" t="n">
        <f aca="false">SUMPRODUCT((Customers!$J$12:$J$311=1)*($A109&gt;=Customers!$K$12:$K$311)*(MOD($A109-Customers!$K$12:$K$311,Customers!$L$12:$L$311)=0)*($A109&lt;=Customers!$M$12:$M$311))</f>
        <v>0</v>
      </c>
      <c r="E109" s="22" t="n">
        <f aca="false">SUMPRODUCT((Customers!$J$12:$J$311=1)*($A109&gt;=Customers!$K$12:$K$311)*(MOD($A109-Customers!$K$12:$K$311,Customers!$L$12:$L$311)=0)*($A109&lt;=Customers!$M$12:$M$311)*Customers!$N$12:$N$311)/100</f>
        <v>0</v>
      </c>
      <c r="F109" s="22" t="str">
        <f aca="false">IF(OR(INDEX($B$7:$H$7,WEEKDAY($A109,2))="OK",INDEX($B$7:$H$7,WEEKDAY($A109,2))="Closed"),INDEX($B$6:$H$6,WEEKDAY($A109,2)),"")</f>
        <v/>
      </c>
      <c r="G109" s="22" t="str">
        <f aca="false">IF($F109="","",MAX(0,ROUND($E109*100,0)-ROUND($F109*100,0))/100)</f>
        <v/>
      </c>
      <c r="H109" s="22" t="str">
        <f aca="false">IF($F109="","",MAX(0,ROUND($F109*100,0)-ROUND($E109*100,0))/100)</f>
        <v/>
      </c>
      <c r="I109" s="24" t="str">
        <f aca="false">IF($F109="","Capacity not set",IF(ROUND($F109*100,0)=0,IF($D109&gt;0,"Over capacity","Closed"),IF($D109=0,"No visits",IF(ROUND($E109*100,0)&gt;ROUND($F109*100,0),"Over capacity",IF(ROUND($E109*100,0)=ROUND($F109*100,0),"Full","Room available")))))</f>
        <v>Capacity not set</v>
      </c>
    </row>
    <row r="110" customFormat="false" ht="15" hidden="false" customHeight="false" outlineLevel="0" collapsed="false">
      <c r="A110" s="21" t="n">
        <f aca="false">WinStart+74</f>
        <v>46388</v>
      </c>
      <c r="B110" s="23" t="str">
        <f aca="false">CHOOSE(WEEKDAY($A110,2),"Mon","Tue","Wed","Thu","Fri","Sat","Sun")</f>
        <v>Fri</v>
      </c>
      <c r="C110" s="23" t="n">
        <v>11</v>
      </c>
      <c r="D110" s="23" t="n">
        <f aca="false">SUMPRODUCT((Customers!$J$12:$J$311=1)*($A110&gt;=Customers!$K$12:$K$311)*(MOD($A110-Customers!$K$12:$K$311,Customers!$L$12:$L$311)=0)*($A110&lt;=Customers!$M$12:$M$311))</f>
        <v>0</v>
      </c>
      <c r="E110" s="22" t="n">
        <f aca="false">SUMPRODUCT((Customers!$J$12:$J$311=1)*($A110&gt;=Customers!$K$12:$K$311)*(MOD($A110-Customers!$K$12:$K$311,Customers!$L$12:$L$311)=0)*($A110&lt;=Customers!$M$12:$M$311)*Customers!$N$12:$N$311)/100</f>
        <v>0</v>
      </c>
      <c r="F110" s="22" t="str">
        <f aca="false">IF(OR(INDEX($B$7:$H$7,WEEKDAY($A110,2))="OK",INDEX($B$7:$H$7,WEEKDAY($A110,2))="Closed"),INDEX($B$6:$H$6,WEEKDAY($A110,2)),"")</f>
        <v/>
      </c>
      <c r="G110" s="22" t="str">
        <f aca="false">IF($F110="","",MAX(0,ROUND($E110*100,0)-ROUND($F110*100,0))/100)</f>
        <v/>
      </c>
      <c r="H110" s="22" t="str">
        <f aca="false">IF($F110="","",MAX(0,ROUND($F110*100,0)-ROUND($E110*100,0))/100)</f>
        <v/>
      </c>
      <c r="I110" s="24" t="str">
        <f aca="false">IF($F110="","Capacity not set",IF(ROUND($F110*100,0)=0,IF($D110&gt;0,"Over capacity","Closed"),IF($D110=0,"No visits",IF(ROUND($E110*100,0)&gt;ROUND($F110*100,0),"Over capacity",IF(ROUND($E110*100,0)=ROUND($F110*100,0),"Full","Room available")))))</f>
        <v>Capacity not set</v>
      </c>
    </row>
    <row r="111" customFormat="false" ht="15" hidden="false" customHeight="false" outlineLevel="0" collapsed="false">
      <c r="A111" s="21" t="n">
        <f aca="false">WinStart+75</f>
        <v>46389</v>
      </c>
      <c r="B111" s="23" t="str">
        <f aca="false">CHOOSE(WEEKDAY($A111,2),"Mon","Tue","Wed","Thu","Fri","Sat","Sun")</f>
        <v>Sat</v>
      </c>
      <c r="C111" s="23" t="n">
        <v>11</v>
      </c>
      <c r="D111" s="23" t="n">
        <f aca="false">SUMPRODUCT((Customers!$J$12:$J$311=1)*($A111&gt;=Customers!$K$12:$K$311)*(MOD($A111-Customers!$K$12:$K$311,Customers!$L$12:$L$311)=0)*($A111&lt;=Customers!$M$12:$M$311))</f>
        <v>0</v>
      </c>
      <c r="E111" s="22" t="n">
        <f aca="false">SUMPRODUCT((Customers!$J$12:$J$311=1)*($A111&gt;=Customers!$K$12:$K$311)*(MOD($A111-Customers!$K$12:$K$311,Customers!$L$12:$L$311)=0)*($A111&lt;=Customers!$M$12:$M$311)*Customers!$N$12:$N$311)/100</f>
        <v>0</v>
      </c>
      <c r="F111" s="22" t="str">
        <f aca="false">IF(OR(INDEX($B$7:$H$7,WEEKDAY($A111,2))="OK",INDEX($B$7:$H$7,WEEKDAY($A111,2))="Closed"),INDEX($B$6:$H$6,WEEKDAY($A111,2)),"")</f>
        <v/>
      </c>
      <c r="G111" s="22" t="str">
        <f aca="false">IF($F111="","",MAX(0,ROUND($E111*100,0)-ROUND($F111*100,0))/100)</f>
        <v/>
      </c>
      <c r="H111" s="22" t="str">
        <f aca="false">IF($F111="","",MAX(0,ROUND($F111*100,0)-ROUND($E111*100,0))/100)</f>
        <v/>
      </c>
      <c r="I111" s="24" t="str">
        <f aca="false">IF($F111="","Capacity not set",IF(ROUND($F111*100,0)=0,IF($D111&gt;0,"Over capacity","Closed"),IF($D111=0,"No visits",IF(ROUND($E111*100,0)&gt;ROUND($F111*100,0),"Over capacity",IF(ROUND($E111*100,0)=ROUND($F111*100,0),"Full","Room available")))))</f>
        <v>Capacity not set</v>
      </c>
    </row>
    <row r="112" customFormat="false" ht="15" hidden="false" customHeight="false" outlineLevel="0" collapsed="false">
      <c r="A112" s="25" t="n">
        <f aca="false">WinStart+76</f>
        <v>46390</v>
      </c>
      <c r="B112" s="26" t="str">
        <f aca="false">CHOOSE(WEEKDAY($A112,2),"Mon","Tue","Wed","Thu","Fri","Sat","Sun")</f>
        <v>Sun</v>
      </c>
      <c r="C112" s="26" t="n">
        <v>11</v>
      </c>
      <c r="D112" s="26" t="n">
        <f aca="false">SUMPRODUCT((Customers!$J$12:$J$311=1)*($A112&gt;=Customers!$K$12:$K$311)*(MOD($A112-Customers!$K$12:$K$311,Customers!$L$12:$L$311)=0)*($A112&lt;=Customers!$M$12:$M$311))</f>
        <v>0</v>
      </c>
      <c r="E112" s="27" t="n">
        <f aca="false">SUMPRODUCT((Customers!$J$12:$J$311=1)*($A112&gt;=Customers!$K$12:$K$311)*(MOD($A112-Customers!$K$12:$K$311,Customers!$L$12:$L$311)=0)*($A112&lt;=Customers!$M$12:$M$311)*Customers!$N$12:$N$311)/100</f>
        <v>0</v>
      </c>
      <c r="F112" s="27" t="str">
        <f aca="false">IF(OR(INDEX($B$7:$H$7,WEEKDAY($A112,2))="OK",INDEX($B$7:$H$7,WEEKDAY($A112,2))="Closed"),INDEX($B$6:$H$6,WEEKDAY($A112,2)),"")</f>
        <v/>
      </c>
      <c r="G112" s="27" t="str">
        <f aca="false">IF($F112="","",MAX(0,ROUND($E112*100,0)-ROUND($F112*100,0))/100)</f>
        <v/>
      </c>
      <c r="H112" s="27" t="str">
        <f aca="false">IF($F112="","",MAX(0,ROUND($F112*100,0)-ROUND($E112*100,0))/100)</f>
        <v/>
      </c>
      <c r="I112" s="28" t="str">
        <f aca="false">IF($F112="","Capacity not set",IF(ROUND($F112*100,0)=0,IF($D112&gt;0,"Over capacity","Closed"),IF($D112=0,"No visits",IF(ROUND($E112*100,0)&gt;ROUND($F112*100,0),"Over capacity",IF(ROUND($E112*100,0)=ROUND($F112*100,0),"Full","Room available")))))</f>
        <v>Capacity not set</v>
      </c>
    </row>
    <row r="113" customFormat="false" ht="15" hidden="false" customHeight="false" outlineLevel="0" collapsed="false">
      <c r="A113" s="21" t="n">
        <f aca="false">WinStart+77</f>
        <v>46391</v>
      </c>
      <c r="B113" s="23" t="str">
        <f aca="false">CHOOSE(WEEKDAY($A113,2),"Mon","Tue","Wed","Thu","Fri","Sat","Sun")</f>
        <v>Mon</v>
      </c>
      <c r="C113" s="23" t="n">
        <v>12</v>
      </c>
      <c r="D113" s="23" t="n">
        <f aca="false">SUMPRODUCT((Customers!$J$12:$J$311=1)*($A113&gt;=Customers!$K$12:$K$311)*(MOD($A113-Customers!$K$12:$K$311,Customers!$L$12:$L$311)=0)*($A113&lt;=Customers!$M$12:$M$311))</f>
        <v>0</v>
      </c>
      <c r="E113" s="22" t="n">
        <f aca="false">SUMPRODUCT((Customers!$J$12:$J$311=1)*($A113&gt;=Customers!$K$12:$K$311)*(MOD($A113-Customers!$K$12:$K$311,Customers!$L$12:$L$311)=0)*($A113&lt;=Customers!$M$12:$M$311)*Customers!$N$12:$N$311)/100</f>
        <v>0</v>
      </c>
      <c r="F113" s="22" t="str">
        <f aca="false">IF(OR(INDEX($B$7:$H$7,WEEKDAY($A113,2))="OK",INDEX($B$7:$H$7,WEEKDAY($A113,2))="Closed"),INDEX($B$6:$H$6,WEEKDAY($A113,2)),"")</f>
        <v/>
      </c>
      <c r="G113" s="22" t="str">
        <f aca="false">IF($F113="","",MAX(0,ROUND($E113*100,0)-ROUND($F113*100,0))/100)</f>
        <v/>
      </c>
      <c r="H113" s="22" t="str">
        <f aca="false">IF($F113="","",MAX(0,ROUND($F113*100,0)-ROUND($E113*100,0))/100)</f>
        <v/>
      </c>
      <c r="I113" s="24" t="str">
        <f aca="false">IF($F113="","Capacity not set",IF(ROUND($F113*100,0)=0,IF($D113&gt;0,"Over capacity","Closed"),IF($D113=0,"No visits",IF(ROUND($E113*100,0)&gt;ROUND($F113*100,0),"Over capacity",IF(ROUND($E113*100,0)=ROUND($F113*100,0),"Full","Room available")))))</f>
        <v>Capacity not set</v>
      </c>
    </row>
    <row r="114" customFormat="false" ht="15" hidden="false" customHeight="false" outlineLevel="0" collapsed="false">
      <c r="A114" s="21" t="n">
        <f aca="false">WinStart+78</f>
        <v>46392</v>
      </c>
      <c r="B114" s="23" t="str">
        <f aca="false">CHOOSE(WEEKDAY($A114,2),"Mon","Tue","Wed","Thu","Fri","Sat","Sun")</f>
        <v>Tue</v>
      </c>
      <c r="C114" s="23" t="n">
        <v>12</v>
      </c>
      <c r="D114" s="23" t="n">
        <f aca="false">SUMPRODUCT((Customers!$J$12:$J$311=1)*($A114&gt;=Customers!$K$12:$K$311)*(MOD($A114-Customers!$K$12:$K$311,Customers!$L$12:$L$311)=0)*($A114&lt;=Customers!$M$12:$M$311))</f>
        <v>0</v>
      </c>
      <c r="E114" s="22" t="n">
        <f aca="false">SUMPRODUCT((Customers!$J$12:$J$311=1)*($A114&gt;=Customers!$K$12:$K$311)*(MOD($A114-Customers!$K$12:$K$311,Customers!$L$12:$L$311)=0)*($A114&lt;=Customers!$M$12:$M$311)*Customers!$N$12:$N$311)/100</f>
        <v>0</v>
      </c>
      <c r="F114" s="22" t="str">
        <f aca="false">IF(OR(INDEX($B$7:$H$7,WEEKDAY($A114,2))="OK",INDEX($B$7:$H$7,WEEKDAY($A114,2))="Closed"),INDEX($B$6:$H$6,WEEKDAY($A114,2)),"")</f>
        <v/>
      </c>
      <c r="G114" s="22" t="str">
        <f aca="false">IF($F114="","",MAX(0,ROUND($E114*100,0)-ROUND($F114*100,0))/100)</f>
        <v/>
      </c>
      <c r="H114" s="22" t="str">
        <f aca="false">IF($F114="","",MAX(0,ROUND($F114*100,0)-ROUND($E114*100,0))/100)</f>
        <v/>
      </c>
      <c r="I114" s="24" t="str">
        <f aca="false">IF($F114="","Capacity not set",IF(ROUND($F114*100,0)=0,IF($D114&gt;0,"Over capacity","Closed"),IF($D114=0,"No visits",IF(ROUND($E114*100,0)&gt;ROUND($F114*100,0),"Over capacity",IF(ROUND($E114*100,0)=ROUND($F114*100,0),"Full","Room available")))))</f>
        <v>Capacity not set</v>
      </c>
    </row>
    <row r="115" customFormat="false" ht="15" hidden="false" customHeight="false" outlineLevel="0" collapsed="false">
      <c r="A115" s="21" t="n">
        <f aca="false">WinStart+79</f>
        <v>46393</v>
      </c>
      <c r="B115" s="23" t="str">
        <f aca="false">CHOOSE(WEEKDAY($A115,2),"Mon","Tue","Wed","Thu","Fri","Sat","Sun")</f>
        <v>Wed</v>
      </c>
      <c r="C115" s="23" t="n">
        <v>12</v>
      </c>
      <c r="D115" s="23" t="n">
        <f aca="false">SUMPRODUCT((Customers!$J$12:$J$311=1)*($A115&gt;=Customers!$K$12:$K$311)*(MOD($A115-Customers!$K$12:$K$311,Customers!$L$12:$L$311)=0)*($A115&lt;=Customers!$M$12:$M$311))</f>
        <v>0</v>
      </c>
      <c r="E115" s="22" t="n">
        <f aca="false">SUMPRODUCT((Customers!$J$12:$J$311=1)*($A115&gt;=Customers!$K$12:$K$311)*(MOD($A115-Customers!$K$12:$K$311,Customers!$L$12:$L$311)=0)*($A115&lt;=Customers!$M$12:$M$311)*Customers!$N$12:$N$311)/100</f>
        <v>0</v>
      </c>
      <c r="F115" s="22" t="str">
        <f aca="false">IF(OR(INDEX($B$7:$H$7,WEEKDAY($A115,2))="OK",INDEX($B$7:$H$7,WEEKDAY($A115,2))="Closed"),INDEX($B$6:$H$6,WEEKDAY($A115,2)),"")</f>
        <v/>
      </c>
      <c r="G115" s="22" t="str">
        <f aca="false">IF($F115="","",MAX(0,ROUND($E115*100,0)-ROUND($F115*100,0))/100)</f>
        <v/>
      </c>
      <c r="H115" s="22" t="str">
        <f aca="false">IF($F115="","",MAX(0,ROUND($F115*100,0)-ROUND($E115*100,0))/100)</f>
        <v/>
      </c>
      <c r="I115" s="24" t="str">
        <f aca="false">IF($F115="","Capacity not set",IF(ROUND($F115*100,0)=0,IF($D115&gt;0,"Over capacity","Closed"),IF($D115=0,"No visits",IF(ROUND($E115*100,0)&gt;ROUND($F115*100,0),"Over capacity",IF(ROUND($E115*100,0)=ROUND($F115*100,0),"Full","Room available")))))</f>
        <v>Capacity not set</v>
      </c>
    </row>
    <row r="116" customFormat="false" ht="15" hidden="false" customHeight="false" outlineLevel="0" collapsed="false">
      <c r="A116" s="21" t="n">
        <f aca="false">WinStart+80</f>
        <v>46394</v>
      </c>
      <c r="B116" s="23" t="str">
        <f aca="false">CHOOSE(WEEKDAY($A116,2),"Mon","Tue","Wed","Thu","Fri","Sat","Sun")</f>
        <v>Thu</v>
      </c>
      <c r="C116" s="23" t="n">
        <v>12</v>
      </c>
      <c r="D116" s="23" t="n">
        <f aca="false">SUMPRODUCT((Customers!$J$12:$J$311=1)*($A116&gt;=Customers!$K$12:$K$311)*(MOD($A116-Customers!$K$12:$K$311,Customers!$L$12:$L$311)=0)*($A116&lt;=Customers!$M$12:$M$311))</f>
        <v>0</v>
      </c>
      <c r="E116" s="22" t="n">
        <f aca="false">SUMPRODUCT((Customers!$J$12:$J$311=1)*($A116&gt;=Customers!$K$12:$K$311)*(MOD($A116-Customers!$K$12:$K$311,Customers!$L$12:$L$311)=0)*($A116&lt;=Customers!$M$12:$M$311)*Customers!$N$12:$N$311)/100</f>
        <v>0</v>
      </c>
      <c r="F116" s="22" t="str">
        <f aca="false">IF(OR(INDEX($B$7:$H$7,WEEKDAY($A116,2))="OK",INDEX($B$7:$H$7,WEEKDAY($A116,2))="Closed"),INDEX($B$6:$H$6,WEEKDAY($A116,2)),"")</f>
        <v/>
      </c>
      <c r="G116" s="22" t="str">
        <f aca="false">IF($F116="","",MAX(0,ROUND($E116*100,0)-ROUND($F116*100,0))/100)</f>
        <v/>
      </c>
      <c r="H116" s="22" t="str">
        <f aca="false">IF($F116="","",MAX(0,ROUND($F116*100,0)-ROUND($E116*100,0))/100)</f>
        <v/>
      </c>
      <c r="I116" s="24" t="str">
        <f aca="false">IF($F116="","Capacity not set",IF(ROUND($F116*100,0)=0,IF($D116&gt;0,"Over capacity","Closed"),IF($D116=0,"No visits",IF(ROUND($E116*100,0)&gt;ROUND($F116*100,0),"Over capacity",IF(ROUND($E116*100,0)=ROUND($F116*100,0),"Full","Room available")))))</f>
        <v>Capacity not set</v>
      </c>
    </row>
    <row r="117" customFormat="false" ht="15" hidden="false" customHeight="false" outlineLevel="0" collapsed="false">
      <c r="A117" s="21" t="n">
        <f aca="false">WinStart+81</f>
        <v>46395</v>
      </c>
      <c r="B117" s="23" t="str">
        <f aca="false">CHOOSE(WEEKDAY($A117,2),"Mon","Tue","Wed","Thu","Fri","Sat","Sun")</f>
        <v>Fri</v>
      </c>
      <c r="C117" s="23" t="n">
        <v>12</v>
      </c>
      <c r="D117" s="23" t="n">
        <f aca="false">SUMPRODUCT((Customers!$J$12:$J$311=1)*($A117&gt;=Customers!$K$12:$K$311)*(MOD($A117-Customers!$K$12:$K$311,Customers!$L$12:$L$311)=0)*($A117&lt;=Customers!$M$12:$M$311))</f>
        <v>0</v>
      </c>
      <c r="E117" s="22" t="n">
        <f aca="false">SUMPRODUCT((Customers!$J$12:$J$311=1)*($A117&gt;=Customers!$K$12:$K$311)*(MOD($A117-Customers!$K$12:$K$311,Customers!$L$12:$L$311)=0)*($A117&lt;=Customers!$M$12:$M$311)*Customers!$N$12:$N$311)/100</f>
        <v>0</v>
      </c>
      <c r="F117" s="22" t="str">
        <f aca="false">IF(OR(INDEX($B$7:$H$7,WEEKDAY($A117,2))="OK",INDEX($B$7:$H$7,WEEKDAY($A117,2))="Closed"),INDEX($B$6:$H$6,WEEKDAY($A117,2)),"")</f>
        <v/>
      </c>
      <c r="G117" s="22" t="str">
        <f aca="false">IF($F117="","",MAX(0,ROUND($E117*100,0)-ROUND($F117*100,0))/100)</f>
        <v/>
      </c>
      <c r="H117" s="22" t="str">
        <f aca="false">IF($F117="","",MAX(0,ROUND($F117*100,0)-ROUND($E117*100,0))/100)</f>
        <v/>
      </c>
      <c r="I117" s="24" t="str">
        <f aca="false">IF($F117="","Capacity not set",IF(ROUND($F117*100,0)=0,IF($D117&gt;0,"Over capacity","Closed"),IF($D117=0,"No visits",IF(ROUND($E117*100,0)&gt;ROUND($F117*100,0),"Over capacity",IF(ROUND($E117*100,0)=ROUND($F117*100,0),"Full","Room available")))))</f>
        <v>Capacity not set</v>
      </c>
    </row>
    <row r="118" customFormat="false" ht="15" hidden="false" customHeight="false" outlineLevel="0" collapsed="false">
      <c r="A118" s="21" t="n">
        <f aca="false">WinStart+82</f>
        <v>46396</v>
      </c>
      <c r="B118" s="23" t="str">
        <f aca="false">CHOOSE(WEEKDAY($A118,2),"Mon","Tue","Wed","Thu","Fri","Sat","Sun")</f>
        <v>Sat</v>
      </c>
      <c r="C118" s="23" t="n">
        <v>12</v>
      </c>
      <c r="D118" s="23" t="n">
        <f aca="false">SUMPRODUCT((Customers!$J$12:$J$311=1)*($A118&gt;=Customers!$K$12:$K$311)*(MOD($A118-Customers!$K$12:$K$311,Customers!$L$12:$L$311)=0)*($A118&lt;=Customers!$M$12:$M$311))</f>
        <v>0</v>
      </c>
      <c r="E118" s="22" t="n">
        <f aca="false">SUMPRODUCT((Customers!$J$12:$J$311=1)*($A118&gt;=Customers!$K$12:$K$311)*(MOD($A118-Customers!$K$12:$K$311,Customers!$L$12:$L$311)=0)*($A118&lt;=Customers!$M$12:$M$311)*Customers!$N$12:$N$311)/100</f>
        <v>0</v>
      </c>
      <c r="F118" s="22" t="str">
        <f aca="false">IF(OR(INDEX($B$7:$H$7,WEEKDAY($A118,2))="OK",INDEX($B$7:$H$7,WEEKDAY($A118,2))="Closed"),INDEX($B$6:$H$6,WEEKDAY($A118,2)),"")</f>
        <v/>
      </c>
      <c r="G118" s="22" t="str">
        <f aca="false">IF($F118="","",MAX(0,ROUND($E118*100,0)-ROUND($F118*100,0))/100)</f>
        <v/>
      </c>
      <c r="H118" s="22" t="str">
        <f aca="false">IF($F118="","",MAX(0,ROUND($F118*100,0)-ROUND($E118*100,0))/100)</f>
        <v/>
      </c>
      <c r="I118" s="24" t="str">
        <f aca="false">IF($F118="","Capacity not set",IF(ROUND($F118*100,0)=0,IF($D118&gt;0,"Over capacity","Closed"),IF($D118=0,"No visits",IF(ROUND($E118*100,0)&gt;ROUND($F118*100,0),"Over capacity",IF(ROUND($E118*100,0)=ROUND($F118*100,0),"Full","Room available")))))</f>
        <v>Capacity not set</v>
      </c>
    </row>
    <row r="119" customFormat="false" ht="15" hidden="false" customHeight="false" outlineLevel="0" collapsed="false">
      <c r="A119" s="25" t="n">
        <f aca="false">WinStart+83</f>
        <v>46397</v>
      </c>
      <c r="B119" s="26" t="str">
        <f aca="false">CHOOSE(WEEKDAY($A119,2),"Mon","Tue","Wed","Thu","Fri","Sat","Sun")</f>
        <v>Sun</v>
      </c>
      <c r="C119" s="26" t="n">
        <v>12</v>
      </c>
      <c r="D119" s="26" t="n">
        <f aca="false">SUMPRODUCT((Customers!$J$12:$J$311=1)*($A119&gt;=Customers!$K$12:$K$311)*(MOD($A119-Customers!$K$12:$K$311,Customers!$L$12:$L$311)=0)*($A119&lt;=Customers!$M$12:$M$311))</f>
        <v>0</v>
      </c>
      <c r="E119" s="27" t="n">
        <f aca="false">SUMPRODUCT((Customers!$J$12:$J$311=1)*($A119&gt;=Customers!$K$12:$K$311)*(MOD($A119-Customers!$K$12:$K$311,Customers!$L$12:$L$311)=0)*($A119&lt;=Customers!$M$12:$M$311)*Customers!$N$12:$N$311)/100</f>
        <v>0</v>
      </c>
      <c r="F119" s="27" t="str">
        <f aca="false">IF(OR(INDEX($B$7:$H$7,WEEKDAY($A119,2))="OK",INDEX($B$7:$H$7,WEEKDAY($A119,2))="Closed"),INDEX($B$6:$H$6,WEEKDAY($A119,2)),"")</f>
        <v/>
      </c>
      <c r="G119" s="27" t="str">
        <f aca="false">IF($F119="","",MAX(0,ROUND($E119*100,0)-ROUND($F119*100,0))/100)</f>
        <v/>
      </c>
      <c r="H119" s="27" t="str">
        <f aca="false">IF($F119="","",MAX(0,ROUND($F119*100,0)-ROUND($E119*100,0))/100)</f>
        <v/>
      </c>
      <c r="I119" s="28" t="str">
        <f aca="false">IF($F119="","Capacity not set",IF(ROUND($F119*100,0)=0,IF($D119&gt;0,"Over capacity","Closed"),IF($D119=0,"No visits",IF(ROUND($E119*100,0)&gt;ROUND($F119*100,0),"Over capacity",IF(ROUND($E119*100,0)=ROUND($F119*100,0),"Full","Room available")))))</f>
        <v>Capacity not set</v>
      </c>
    </row>
  </sheetData>
  <sheetProtection sheet="true" formatCells="false" formatColumns="false" formatRows="false"/>
  <mergeCells count="25">
    <mergeCell ref="A2:I2"/>
    <mergeCell ref="A4:I4"/>
    <mergeCell ref="A8:I8"/>
    <mergeCell ref="B10:C10"/>
    <mergeCell ref="D10:I10"/>
    <mergeCell ref="B11:C11"/>
    <mergeCell ref="D11:I11"/>
    <mergeCell ref="B13:I13"/>
    <mergeCell ref="B14:I14"/>
    <mergeCell ref="B15:I15"/>
    <mergeCell ref="B16:I16"/>
    <mergeCell ref="B17:I17"/>
    <mergeCell ref="H20:I20"/>
    <mergeCell ref="H21:I21"/>
    <mergeCell ref="H22:I22"/>
    <mergeCell ref="H23:I23"/>
    <mergeCell ref="H24:I24"/>
    <mergeCell ref="H25:I25"/>
    <mergeCell ref="H26:I26"/>
    <mergeCell ref="H27:I27"/>
    <mergeCell ref="H28:I28"/>
    <mergeCell ref="H29:I29"/>
    <mergeCell ref="H30:I30"/>
    <mergeCell ref="H31:I31"/>
    <mergeCell ref="H32:I32"/>
  </mergeCells>
  <conditionalFormatting sqref="I36:I119">
    <cfRule type="expression" priority="2" aboveAverage="0" equalAverage="0" bottom="0" percent="0" rank="0" text="" dxfId="0">
      <formula>$I36="Over capacity"</formula>
    </cfRule>
    <cfRule type="expression" priority="3" aboveAverage="0" equalAverage="0" bottom="0" percent="0" rank="0" text="" dxfId="1">
      <formula>$I36="Capacity not set"</formula>
    </cfRule>
    <cfRule type="expression" priority="4" aboveAverage="0" equalAverage="0" bottom="0" percent="0" rank="0" text="" dxfId="2">
      <formula>OR($I36="Full",$I36="Room available")</formula>
    </cfRule>
  </conditionalFormatting>
  <conditionalFormatting sqref="H21:I32">
    <cfRule type="expression" priority="5" aboveAverage="0" equalAverage="0" bottom="0" percent="0" rank="0" text="" dxfId="0">
      <formula>$E21&gt;0</formula>
    </cfRule>
    <cfRule type="expression" priority="6" aboveAverage="0" equalAverage="0" bottom="0" percent="0" rank="0" text="" dxfId="1">
      <formula>$H21="Can't check all"</formula>
    </cfRule>
  </conditionalFormatting>
  <conditionalFormatting sqref="B7:H7">
    <cfRule type="expression" priority="7" aboveAverage="0" equalAverage="0" bottom="0" percent="0" rank="0" text="" dxfId="0">
      <formula>LEFT(B7,3)="Fix"</formula>
    </cfRule>
    <cfRule type="expression" priority="8" aboveAverage="0" equalAverage="0" bottom="0" percent="0" rank="0" text="" dxfId="1">
      <formula>B7="Not set"</formula>
    </cfRule>
  </conditionalFormatting>
  <conditionalFormatting sqref="B13">
    <cfRule type="expression" priority="9" aboveAverage="0" equalAverage="0" bottom="0" percent="0" rank="0" text="" dxfId="0">
      <formula>LEFT($B$13,1)="⚠"</formula>
    </cfRule>
    <cfRule type="expression" priority="10" aboveAverage="0" equalAverage="0" bottom="0" percent="0" rank="0" text="" dxfId="2">
      <formula>LEFT($B$13,1)="✓"</formula>
    </cfRule>
  </conditionalFormatting>
  <conditionalFormatting sqref="D11">
    <cfRule type="expression" priority="11" aboveAverage="0" equalAverage="0" bottom="0" percent="0" rank="0" text="" dxfId="0">
      <formula>LEFT($D$11,1)="⚠"</formula>
    </cfRule>
  </conditionalFormatting>
  <dataValidations count="2">
    <dataValidation allowBlank="true" error="Enter hours from 0 to 24, up to 2 decimals (2.5 = 2 h 30 min). 0 = no cleaning that day." errorStyle="stop" errorTitle="Available hours" operator="between" showDropDown="false" showErrorMessage="true" showInputMessage="false" sqref="B6:H6" type="decimal">
      <formula1>0</formula1>
      <formula2>24</formula2>
    </dataValidation>
    <dataValidation allowBlank="true" error="Enter a date from 2000 to 2099." errorStyle="stop" errorTitle="Window" operator="between" showDropDown="false" showErrorMessage="true" showInputMessage="false" sqref="B10" type="date">
      <formula1>DATE(2000,1,1)</formula1>
      <formula2>DATE(2099,12,31)</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5"/>
    <col collapsed="false" customWidth="true" hidden="false" outlineLevel="0" max="3" min="3" style="0" width="14"/>
    <col collapsed="false" customWidth="true" hidden="false" outlineLevel="0" max="4" min="4" style="0" width="10"/>
    <col collapsed="false" customWidth="true" hidden="false" outlineLevel="0" max="5" min="5" style="0" width="15"/>
    <col collapsed="false" customWidth="true" hidden="false" outlineLevel="0" max="6" min="6" style="0" width="11"/>
    <col collapsed="false" customWidth="true" hidden="false" outlineLevel="0" max="7" min="7" style="0" width="9"/>
    <col collapsed="false" customWidth="true" hidden="false" outlineLevel="0" max="8" min="8" style="0" width="14"/>
    <col collapsed="false" customWidth="true" hidden="false" outlineLevel="0" max="9" min="9" style="0" width="40"/>
    <col collapsed="false" customWidth="true" hidden="false" outlineLevel="0" max="10" min="10" style="0" width="9"/>
    <col collapsed="false" customWidth="true" hidden="false" outlineLevel="0" max="11" min="11" style="0" width="10"/>
    <col collapsed="false" customWidth="true" hidden="false" outlineLevel="0" max="12" min="12" style="0" width="9"/>
    <col collapsed="false" customWidth="true" hidden="false" outlineLevel="0" max="13" min="13" style="0" width="10"/>
    <col collapsed="false" customWidth="true" hidden="false" outlineLevel="0" max="14" min="14" style="0" width="9"/>
    <col collapsed="false" customWidth="true" hidden="false" outlineLevel="0" max="15" min="15" style="0" width="13"/>
    <col collapsed="false" customWidth="true" hidden="false" outlineLevel="0" max="16" min="16" style="0" width="10"/>
  </cols>
  <sheetData>
    <row r="1" customFormat="false" ht="24" hidden="false" customHeight="true" outlineLevel="0" collapsed="false">
      <c r="A1" s="29" t="s">
        <v>29</v>
      </c>
    </row>
    <row r="2" customFormat="false" ht="39.75" hidden="false" customHeight="true" outlineLevel="0" collapsed="false">
      <c r="A2" s="2" t="s">
        <v>30</v>
      </c>
      <c r="B2" s="2"/>
      <c r="C2" s="2"/>
      <c r="D2" s="2"/>
      <c r="E2" s="2"/>
      <c r="F2" s="2"/>
      <c r="G2" s="2"/>
      <c r="H2" s="2"/>
      <c r="I2" s="2"/>
    </row>
    <row r="3" customFormat="false" ht="39.75" hidden="false" customHeight="true" outlineLevel="0" collapsed="false">
      <c r="A3" s="2" t="s">
        <v>31</v>
      </c>
      <c r="B3" s="2"/>
      <c r="C3" s="2"/>
      <c r="D3" s="2"/>
      <c r="E3" s="2"/>
      <c r="F3" s="2"/>
      <c r="G3" s="2"/>
      <c r="H3" s="2"/>
      <c r="I3" s="2"/>
    </row>
    <row r="5" customFormat="false" ht="15" hidden="false" customHeight="false" outlineLevel="0" collapsed="false">
      <c r="A5" s="4" t="s">
        <v>12</v>
      </c>
      <c r="B5" s="30" t="str">
        <f aca="false">IF(COUNTIF($H$12:$H$311,"Check details")+SUMPRODUCT(--(LEN($A$312:$A$5000&amp;$B$312:$B$5000&amp;$C$312:$C$5000&amp;$D$312:$D$5000&amp;$E$312:$E$5000)&gt;0))&gt;0,"⚠ "&amp;IF(COUNTIF($H$12:$H$311,"Check details")&gt;0,COUNTIF($H$12:$H$311,"Check details")&amp;" customer(s) need details (see column I). Their visits aren't in the planned hours. ","")&amp;IF(SUMPRODUCT(--(LEN($A$312:$A$5000&amp;$B$312:$B$5000&amp;$C$312:$C$5000&amp;$D$312:$D$5000&amp;$E$312:$E$5000)&gt;0))&gt;0,SUMPRODUCT(--(LEN($A$312:$A$5000&amp;$B$312:$B$5000&amp;$C$312:$C$5000&amp;$D$312:$D$5000&amp;$E$312:$E$5000)&gt;0))&amp;" row(s) below row 311 aren't counted. Move them into the table.",""),IF(SUMPRODUCT(--(LEN($H$12:$H$311)&gt;0))=0,"No customers yet. Start in row 12.","All "&amp;SUMPRODUCT(--(LEN($H$12:$H$311)&gt;0))&amp;" customer(s) are complete and counted."))</f>
        <v>No customers yet. Start in row 12.</v>
      </c>
      <c r="C5" s="30"/>
      <c r="D5" s="30"/>
      <c r="E5" s="30"/>
      <c r="F5" s="30"/>
      <c r="G5" s="30"/>
      <c r="H5" s="30"/>
      <c r="I5" s="30"/>
    </row>
    <row r="6" customFormat="false" ht="15" hidden="false" customHeight="false" outlineLevel="0" collapsed="false">
      <c r="A6" s="4" t="s">
        <v>14</v>
      </c>
      <c r="B6" s="31" t="str">
        <f aca="false">"Visits in window (column G) count the Plan window: "&amp;CHOOSE(WEEKDAY(WinStart,2),"Mon","Tue","Wed","Thu","Fri","Sat","Sun")&amp;" "&amp;CHOOSE(MONTH(WinStart),"Jan","Feb","Mar","Apr","May","Jun","Jul","Aug","Sep","Oct","Nov","Dec")&amp;" "&amp;DAY(WinStart)&amp;", "&amp;YEAR(WinStart)&amp;" to "&amp;CHOOSE(WEEKDAY(WinStart+83,2),"Mon","Tue","Wed","Thu","Fri","Sat","Sun")&amp;" "&amp;CHOOSE(MONTH(WinStart+83),"Jan","Feb","Mar","Apr","May","Jun","Jul","Aug","Sep","Oct","Nov","Dec")&amp;" "&amp;DAY(WinStart+83)&amp;", "&amp;YEAR(WinStart+83)&amp;"."</f>
        <v>Visits in window (column G) count the Plan window: Mon Oct 19, 2026 to Sun Jan 10, 2027.</v>
      </c>
      <c r="C6" s="31"/>
      <c r="D6" s="31"/>
      <c r="E6" s="31"/>
      <c r="F6" s="31"/>
      <c r="G6" s="31"/>
      <c r="H6" s="31"/>
      <c r="I6" s="31"/>
    </row>
    <row r="11" customFormat="false" ht="43.5" hidden="false" customHeight="true" outlineLevel="0" collapsed="false">
      <c r="A11" s="18" t="s">
        <v>32</v>
      </c>
      <c r="B11" s="18" t="s">
        <v>33</v>
      </c>
      <c r="C11" s="18" t="s">
        <v>34</v>
      </c>
      <c r="D11" s="18" t="s">
        <v>35</v>
      </c>
      <c r="E11" s="18" t="s">
        <v>36</v>
      </c>
      <c r="F11" s="32" t="s">
        <v>37</v>
      </c>
      <c r="G11" s="32" t="s">
        <v>38</v>
      </c>
      <c r="H11" s="32" t="s">
        <v>39</v>
      </c>
      <c r="I11" s="32" t="s">
        <v>40</v>
      </c>
      <c r="J11" s="32" t="s">
        <v>41</v>
      </c>
      <c r="K11" s="32" t="s">
        <v>42</v>
      </c>
      <c r="L11" s="32" t="s">
        <v>43</v>
      </c>
      <c r="M11" s="32" t="s">
        <v>44</v>
      </c>
      <c r="N11" s="32" t="s">
        <v>45</v>
      </c>
      <c r="O11" s="32" t="s">
        <v>46</v>
      </c>
      <c r="P11" s="32" t="s">
        <v>47</v>
      </c>
    </row>
    <row r="12" customFormat="false" ht="15" hidden="false" customHeight="false" outlineLevel="0" collapsed="false">
      <c r="A12" s="33"/>
      <c r="B12" s="34"/>
      <c r="C12" s="33"/>
      <c r="D12" s="35"/>
      <c r="E12" s="34"/>
      <c r="F12" s="36" t="str">
        <f aca="false">IF(IF(ISNUMBER($B12),AND($B12=INT($B12),$B12&gt;=DATE(2000,1,1),$B12&lt;=DATE(2099,12,31)),FALSE()),CHOOSE(WEEKDAY($B12,2),"Monday","Tuesday","Wednesday","Thursday","Friday","Saturday","Sunday"),"")</f>
        <v/>
      </c>
      <c r="G12" s="36" t="str">
        <f aca="false">IF($J12&lt;&gt;1,"",MAX(0,INT((MIN(WinStart+83,$M12)-MAX($K12,$K12+ROUNDUP((WinStart-$K12)/$L12,0)*$L12))/$L12)+1))</f>
        <v/>
      </c>
      <c r="H12" s="37" t="str">
        <f aca="false">IF(AND($A12="",$B12="",$C12="",$D12="",$E12=""),"",IF($I12="","OK","Check details"))</f>
        <v/>
      </c>
      <c r="I12" s="38" t="str">
        <f aca="false">IF(AND($A12="",$B12="",$C12="",$D12="",$E12=""),"",TRIM(IF(TRIM($A12&amp;"")="","Label is missing. ","")&amp;IF($B12="","First visit is missing. ",IF(NOT(ISNUMBER($B12)),"First visit isn't a date (it's text). ",IF($B12&lt;&gt;INT($B12),"First visit has a time; enter a date only. ",IF(OR($B12&lt;DATE(2000,1,1),$B12&gt;DATE(2099,12,31)),"First visit must be from 2000 to 2099. ",""))))&amp;IF($C12="","Repeat every is missing. ",IF(ISNA(MATCH($C12&amp;"",{"Weekly","Every 2 weeks","Every 3 weeks","Every 4 weeks"},0)),"Repeat every must be Weekly or Every 2, 3 or 4 weeks. ",""))&amp;IF($D12="","Visit length is missing. ",IF(NOT(ISNUMBER($D12)),"Visit length must be a number of hours. ",IF($D12&lt;0,"Visit length can't be negative. ",IF($D12=0,"Visit length must be more than 0. ",IF(ABS($D12*100-ROUND($D12*100,0))&gt;0.000001,"Visit length: use up to 2 decimals. ",IF($D12&gt;24,"Visit length: 24 hours or less. ",""))))))&amp;IF($E12="","",IF(NOT(ISNUMBER($E12)),"Last visit isn't a date (it's text). ",IF($E12&lt;&gt;INT($E12),"Last visit has a time; enter a date only. ",IF(OR($E12&lt;DATE(2000,1,1),$E12&gt;DATE(2099,12,31)),"Last visit must be from 2000 to 2099. ",IF(AND(IF(ISNUMBER($B12),AND($B12=INT($B12),$B12&gt;=DATE(2000,1,1),$B12&lt;=DATE(2099,12,31)),FALSE()),$E12&lt;$B12),"Last visit is before the first visit. ","")))))))</f>
        <v/>
      </c>
      <c r="J12" s="39" t="n">
        <f aca="false">IF($H12="OK",1,0)</f>
        <v>0</v>
      </c>
      <c r="K12" s="40" t="n">
        <f aca="false">IF($J12=1,$B12,0)</f>
        <v>0</v>
      </c>
      <c r="L12" s="39" t="n">
        <f aca="false">IF($J12=1,7*MATCH($C12&amp;"",{"Weekly","Every 2 weeks","Every 3 weeks","Every 4 weeks"},0),7)</f>
        <v>7</v>
      </c>
      <c r="M12" s="40" t="n">
        <f aca="false">IF($J12=1,IF($E12="",2958465,$E12),0)</f>
        <v>0</v>
      </c>
      <c r="N12" s="39" t="n">
        <f aca="false">IF($J12=1,ROUND($D12*100,0),0)</f>
        <v>0</v>
      </c>
      <c r="O12" s="40" t="str">
        <f aca="false">IF($J12&lt;&gt;1,"",IF(AND((WeekMon+WEEKDAY($K12,2)-1)&gt;=$K12,MOD((WeekMon+WEEKDAY($K12,2)-1)-$K12,$L12)=0,(WeekMon+WEEKDAY($K12,2)-1)&lt;=$M12),(WeekMon+WEEKDAY($K12,2)-1),""))</f>
        <v/>
      </c>
      <c r="P12" s="39" t="str">
        <f aca="false">IF($O12="","",($O12-WeekMon)*1000+ROW()-11)</f>
        <v/>
      </c>
    </row>
    <row r="13" customFormat="false" ht="15" hidden="false" customHeight="false" outlineLevel="0" collapsed="false">
      <c r="A13" s="33"/>
      <c r="B13" s="34"/>
      <c r="C13" s="33"/>
      <c r="D13" s="35"/>
      <c r="E13" s="34"/>
      <c r="F13" s="36" t="str">
        <f aca="false">IF(IF(ISNUMBER($B13),AND($B13=INT($B13),$B13&gt;=DATE(2000,1,1),$B13&lt;=DATE(2099,12,31)),FALSE()),CHOOSE(WEEKDAY($B13,2),"Monday","Tuesday","Wednesday","Thursday","Friday","Saturday","Sunday"),"")</f>
        <v/>
      </c>
      <c r="G13" s="36" t="str">
        <f aca="false">IF($J13&lt;&gt;1,"",MAX(0,INT((MIN(WinStart+83,$M13)-MAX($K13,$K13+ROUNDUP((WinStart-$K13)/$L13,0)*$L13))/$L13)+1))</f>
        <v/>
      </c>
      <c r="H13" s="37" t="str">
        <f aca="false">IF(AND($A13="",$B13="",$C13="",$D13="",$E13=""),"",IF($I13="","OK","Check details"))</f>
        <v/>
      </c>
      <c r="I13" s="38" t="str">
        <f aca="false">IF(AND($A13="",$B13="",$C13="",$D13="",$E13=""),"",TRIM(IF(TRIM($A13&amp;"")="","Label is missing. ","")&amp;IF($B13="","First visit is missing. ",IF(NOT(ISNUMBER($B13)),"First visit isn't a date (it's text). ",IF($B13&lt;&gt;INT($B13),"First visit has a time; enter a date only. ",IF(OR($B13&lt;DATE(2000,1,1),$B13&gt;DATE(2099,12,31)),"First visit must be from 2000 to 2099. ",""))))&amp;IF($C13="","Repeat every is missing. ",IF(ISNA(MATCH($C13&amp;"",{"Weekly","Every 2 weeks","Every 3 weeks","Every 4 weeks"},0)),"Repeat every must be Weekly or Every 2, 3 or 4 weeks. ",""))&amp;IF($D13="","Visit length is missing. ",IF(NOT(ISNUMBER($D13)),"Visit length must be a number of hours. ",IF($D13&lt;0,"Visit length can't be negative. ",IF($D13=0,"Visit length must be more than 0. ",IF(ABS($D13*100-ROUND($D13*100,0))&gt;0.000001,"Visit length: use up to 2 decimals. ",IF($D13&gt;24,"Visit length: 24 hours or less. ",""))))))&amp;IF($E13="","",IF(NOT(ISNUMBER($E13)),"Last visit isn't a date (it's text). ",IF($E13&lt;&gt;INT($E13),"Last visit has a time; enter a date only. ",IF(OR($E13&lt;DATE(2000,1,1),$E13&gt;DATE(2099,12,31)),"Last visit must be from 2000 to 2099. ",IF(AND(IF(ISNUMBER($B13),AND($B13=INT($B13),$B13&gt;=DATE(2000,1,1),$B13&lt;=DATE(2099,12,31)),FALSE()),$E13&lt;$B13),"Last visit is before the first visit. ","")))))))</f>
        <v/>
      </c>
      <c r="J13" s="39" t="n">
        <f aca="false">IF($H13="OK",1,0)</f>
        <v>0</v>
      </c>
      <c r="K13" s="40" t="n">
        <f aca="false">IF($J13=1,$B13,0)</f>
        <v>0</v>
      </c>
      <c r="L13" s="39" t="n">
        <f aca="false">IF($J13=1,7*MATCH($C13&amp;"",{"Weekly","Every 2 weeks","Every 3 weeks","Every 4 weeks"},0),7)</f>
        <v>7</v>
      </c>
      <c r="M13" s="40" t="n">
        <f aca="false">IF($J13=1,IF($E13="",2958465,$E13),0)</f>
        <v>0</v>
      </c>
      <c r="N13" s="39" t="n">
        <f aca="false">IF($J13=1,ROUND($D13*100,0),0)</f>
        <v>0</v>
      </c>
      <c r="O13" s="40" t="str">
        <f aca="false">IF($J13&lt;&gt;1,"",IF(AND((WeekMon+WEEKDAY($K13,2)-1)&gt;=$K13,MOD((WeekMon+WEEKDAY($K13,2)-1)-$K13,$L13)=0,(WeekMon+WEEKDAY($K13,2)-1)&lt;=$M13),(WeekMon+WEEKDAY($K13,2)-1),""))</f>
        <v/>
      </c>
      <c r="P13" s="39" t="str">
        <f aca="false">IF($O13="","",($O13-WeekMon)*1000+ROW()-11)</f>
        <v/>
      </c>
    </row>
    <row r="14" customFormat="false" ht="15" hidden="false" customHeight="false" outlineLevel="0" collapsed="false">
      <c r="A14" s="33"/>
      <c r="B14" s="34"/>
      <c r="C14" s="33"/>
      <c r="D14" s="35"/>
      <c r="E14" s="34"/>
      <c r="F14" s="36" t="str">
        <f aca="false">IF(IF(ISNUMBER($B14),AND($B14=INT($B14),$B14&gt;=DATE(2000,1,1),$B14&lt;=DATE(2099,12,31)),FALSE()),CHOOSE(WEEKDAY($B14,2),"Monday","Tuesday","Wednesday","Thursday","Friday","Saturday","Sunday"),"")</f>
        <v/>
      </c>
      <c r="G14" s="36" t="str">
        <f aca="false">IF($J14&lt;&gt;1,"",MAX(0,INT((MIN(WinStart+83,$M14)-MAX($K14,$K14+ROUNDUP((WinStart-$K14)/$L14,0)*$L14))/$L14)+1))</f>
        <v/>
      </c>
      <c r="H14" s="37" t="str">
        <f aca="false">IF(AND($A14="",$B14="",$C14="",$D14="",$E14=""),"",IF($I14="","OK","Check details"))</f>
        <v/>
      </c>
      <c r="I14" s="38" t="str">
        <f aca="false">IF(AND($A14="",$B14="",$C14="",$D14="",$E14=""),"",TRIM(IF(TRIM($A14&amp;"")="","Label is missing. ","")&amp;IF($B14="","First visit is missing. ",IF(NOT(ISNUMBER($B14)),"First visit isn't a date (it's text). ",IF($B14&lt;&gt;INT($B14),"First visit has a time; enter a date only. ",IF(OR($B14&lt;DATE(2000,1,1),$B14&gt;DATE(2099,12,31)),"First visit must be from 2000 to 2099. ",""))))&amp;IF($C14="","Repeat every is missing. ",IF(ISNA(MATCH($C14&amp;"",{"Weekly","Every 2 weeks","Every 3 weeks","Every 4 weeks"},0)),"Repeat every must be Weekly or Every 2, 3 or 4 weeks. ",""))&amp;IF($D14="","Visit length is missing. ",IF(NOT(ISNUMBER($D14)),"Visit length must be a number of hours. ",IF($D14&lt;0,"Visit length can't be negative. ",IF($D14=0,"Visit length must be more than 0. ",IF(ABS($D14*100-ROUND($D14*100,0))&gt;0.000001,"Visit length: use up to 2 decimals. ",IF($D14&gt;24,"Visit length: 24 hours or less. ",""))))))&amp;IF($E14="","",IF(NOT(ISNUMBER($E14)),"Last visit isn't a date (it's text). ",IF($E14&lt;&gt;INT($E14),"Last visit has a time; enter a date only. ",IF(OR($E14&lt;DATE(2000,1,1),$E14&gt;DATE(2099,12,31)),"Last visit must be from 2000 to 2099. ",IF(AND(IF(ISNUMBER($B14),AND($B14=INT($B14),$B14&gt;=DATE(2000,1,1),$B14&lt;=DATE(2099,12,31)),FALSE()),$E14&lt;$B14),"Last visit is before the first visit. ","")))))))</f>
        <v/>
      </c>
      <c r="J14" s="39" t="n">
        <f aca="false">IF($H14="OK",1,0)</f>
        <v>0</v>
      </c>
      <c r="K14" s="40" t="n">
        <f aca="false">IF($J14=1,$B14,0)</f>
        <v>0</v>
      </c>
      <c r="L14" s="39" t="n">
        <f aca="false">IF($J14=1,7*MATCH($C14&amp;"",{"Weekly","Every 2 weeks","Every 3 weeks","Every 4 weeks"},0),7)</f>
        <v>7</v>
      </c>
      <c r="M14" s="40" t="n">
        <f aca="false">IF($J14=1,IF($E14="",2958465,$E14),0)</f>
        <v>0</v>
      </c>
      <c r="N14" s="39" t="n">
        <f aca="false">IF($J14=1,ROUND($D14*100,0),0)</f>
        <v>0</v>
      </c>
      <c r="O14" s="40" t="str">
        <f aca="false">IF($J14&lt;&gt;1,"",IF(AND((WeekMon+WEEKDAY($K14,2)-1)&gt;=$K14,MOD((WeekMon+WEEKDAY($K14,2)-1)-$K14,$L14)=0,(WeekMon+WEEKDAY($K14,2)-1)&lt;=$M14),(WeekMon+WEEKDAY($K14,2)-1),""))</f>
        <v/>
      </c>
      <c r="P14" s="39" t="str">
        <f aca="false">IF($O14="","",($O14-WeekMon)*1000+ROW()-11)</f>
        <v/>
      </c>
    </row>
    <row r="15" customFormat="false" ht="15" hidden="false" customHeight="false" outlineLevel="0" collapsed="false">
      <c r="A15" s="33"/>
      <c r="B15" s="34"/>
      <c r="C15" s="33"/>
      <c r="D15" s="35"/>
      <c r="E15" s="34"/>
      <c r="F15" s="36" t="str">
        <f aca="false">IF(IF(ISNUMBER($B15),AND($B15=INT($B15),$B15&gt;=DATE(2000,1,1),$B15&lt;=DATE(2099,12,31)),FALSE()),CHOOSE(WEEKDAY($B15,2),"Monday","Tuesday","Wednesday","Thursday","Friday","Saturday","Sunday"),"")</f>
        <v/>
      </c>
      <c r="G15" s="36" t="str">
        <f aca="false">IF($J15&lt;&gt;1,"",MAX(0,INT((MIN(WinStart+83,$M15)-MAX($K15,$K15+ROUNDUP((WinStart-$K15)/$L15,0)*$L15))/$L15)+1))</f>
        <v/>
      </c>
      <c r="H15" s="37" t="str">
        <f aca="false">IF(AND($A15="",$B15="",$C15="",$D15="",$E15=""),"",IF($I15="","OK","Check details"))</f>
        <v/>
      </c>
      <c r="I15" s="38" t="str">
        <f aca="false">IF(AND($A15="",$B15="",$C15="",$D15="",$E15=""),"",TRIM(IF(TRIM($A15&amp;"")="","Label is missing. ","")&amp;IF($B15="","First visit is missing. ",IF(NOT(ISNUMBER($B15)),"First visit isn't a date (it's text). ",IF($B15&lt;&gt;INT($B15),"First visit has a time; enter a date only. ",IF(OR($B15&lt;DATE(2000,1,1),$B15&gt;DATE(2099,12,31)),"First visit must be from 2000 to 2099. ",""))))&amp;IF($C15="","Repeat every is missing. ",IF(ISNA(MATCH($C15&amp;"",{"Weekly","Every 2 weeks","Every 3 weeks","Every 4 weeks"},0)),"Repeat every must be Weekly or Every 2, 3 or 4 weeks. ",""))&amp;IF($D15="","Visit length is missing. ",IF(NOT(ISNUMBER($D15)),"Visit length must be a number of hours. ",IF($D15&lt;0,"Visit length can't be negative. ",IF($D15=0,"Visit length must be more than 0. ",IF(ABS($D15*100-ROUND($D15*100,0))&gt;0.000001,"Visit length: use up to 2 decimals. ",IF($D15&gt;24,"Visit length: 24 hours or less. ",""))))))&amp;IF($E15="","",IF(NOT(ISNUMBER($E15)),"Last visit isn't a date (it's text). ",IF($E15&lt;&gt;INT($E15),"Last visit has a time; enter a date only. ",IF(OR($E15&lt;DATE(2000,1,1),$E15&gt;DATE(2099,12,31)),"Last visit must be from 2000 to 2099. ",IF(AND(IF(ISNUMBER($B15),AND($B15=INT($B15),$B15&gt;=DATE(2000,1,1),$B15&lt;=DATE(2099,12,31)),FALSE()),$E15&lt;$B15),"Last visit is before the first visit. ","")))))))</f>
        <v/>
      </c>
      <c r="J15" s="39" t="n">
        <f aca="false">IF($H15="OK",1,0)</f>
        <v>0</v>
      </c>
      <c r="K15" s="40" t="n">
        <f aca="false">IF($J15=1,$B15,0)</f>
        <v>0</v>
      </c>
      <c r="L15" s="39" t="n">
        <f aca="false">IF($J15=1,7*MATCH($C15&amp;"",{"Weekly","Every 2 weeks","Every 3 weeks","Every 4 weeks"},0),7)</f>
        <v>7</v>
      </c>
      <c r="M15" s="40" t="n">
        <f aca="false">IF($J15=1,IF($E15="",2958465,$E15),0)</f>
        <v>0</v>
      </c>
      <c r="N15" s="39" t="n">
        <f aca="false">IF($J15=1,ROUND($D15*100,0),0)</f>
        <v>0</v>
      </c>
      <c r="O15" s="40" t="str">
        <f aca="false">IF($J15&lt;&gt;1,"",IF(AND((WeekMon+WEEKDAY($K15,2)-1)&gt;=$K15,MOD((WeekMon+WEEKDAY($K15,2)-1)-$K15,$L15)=0,(WeekMon+WEEKDAY($K15,2)-1)&lt;=$M15),(WeekMon+WEEKDAY($K15,2)-1),""))</f>
        <v/>
      </c>
      <c r="P15" s="39" t="str">
        <f aca="false">IF($O15="","",($O15-WeekMon)*1000+ROW()-11)</f>
        <v/>
      </c>
    </row>
    <row r="16" customFormat="false" ht="15" hidden="false" customHeight="false" outlineLevel="0" collapsed="false">
      <c r="A16" s="33"/>
      <c r="B16" s="34"/>
      <c r="C16" s="33"/>
      <c r="D16" s="35"/>
      <c r="E16" s="34"/>
      <c r="F16" s="36" t="str">
        <f aca="false">IF(IF(ISNUMBER($B16),AND($B16=INT($B16),$B16&gt;=DATE(2000,1,1),$B16&lt;=DATE(2099,12,31)),FALSE()),CHOOSE(WEEKDAY($B16,2),"Monday","Tuesday","Wednesday","Thursday","Friday","Saturday","Sunday"),"")</f>
        <v/>
      </c>
      <c r="G16" s="36" t="str">
        <f aca="false">IF($J16&lt;&gt;1,"",MAX(0,INT((MIN(WinStart+83,$M16)-MAX($K16,$K16+ROUNDUP((WinStart-$K16)/$L16,0)*$L16))/$L16)+1))</f>
        <v/>
      </c>
      <c r="H16" s="37" t="str">
        <f aca="false">IF(AND($A16="",$B16="",$C16="",$D16="",$E16=""),"",IF($I16="","OK","Check details"))</f>
        <v/>
      </c>
      <c r="I16" s="38" t="str">
        <f aca="false">IF(AND($A16="",$B16="",$C16="",$D16="",$E16=""),"",TRIM(IF(TRIM($A16&amp;"")="","Label is missing. ","")&amp;IF($B16="","First visit is missing. ",IF(NOT(ISNUMBER($B16)),"First visit isn't a date (it's text). ",IF($B16&lt;&gt;INT($B16),"First visit has a time; enter a date only. ",IF(OR($B16&lt;DATE(2000,1,1),$B16&gt;DATE(2099,12,31)),"First visit must be from 2000 to 2099. ",""))))&amp;IF($C16="","Repeat every is missing. ",IF(ISNA(MATCH($C16&amp;"",{"Weekly","Every 2 weeks","Every 3 weeks","Every 4 weeks"},0)),"Repeat every must be Weekly or Every 2, 3 or 4 weeks. ",""))&amp;IF($D16="","Visit length is missing. ",IF(NOT(ISNUMBER($D16)),"Visit length must be a number of hours. ",IF($D16&lt;0,"Visit length can't be negative. ",IF($D16=0,"Visit length must be more than 0. ",IF(ABS($D16*100-ROUND($D16*100,0))&gt;0.000001,"Visit length: use up to 2 decimals. ",IF($D16&gt;24,"Visit length: 24 hours or less. ",""))))))&amp;IF($E16="","",IF(NOT(ISNUMBER($E16)),"Last visit isn't a date (it's text). ",IF($E16&lt;&gt;INT($E16),"Last visit has a time; enter a date only. ",IF(OR($E16&lt;DATE(2000,1,1),$E16&gt;DATE(2099,12,31)),"Last visit must be from 2000 to 2099. ",IF(AND(IF(ISNUMBER($B16),AND($B16=INT($B16),$B16&gt;=DATE(2000,1,1),$B16&lt;=DATE(2099,12,31)),FALSE()),$E16&lt;$B16),"Last visit is before the first visit. ","")))))))</f>
        <v/>
      </c>
      <c r="J16" s="39" t="n">
        <f aca="false">IF($H16="OK",1,0)</f>
        <v>0</v>
      </c>
      <c r="K16" s="40" t="n">
        <f aca="false">IF($J16=1,$B16,0)</f>
        <v>0</v>
      </c>
      <c r="L16" s="39" t="n">
        <f aca="false">IF($J16=1,7*MATCH($C16&amp;"",{"Weekly","Every 2 weeks","Every 3 weeks","Every 4 weeks"},0),7)</f>
        <v>7</v>
      </c>
      <c r="M16" s="40" t="n">
        <f aca="false">IF($J16=1,IF($E16="",2958465,$E16),0)</f>
        <v>0</v>
      </c>
      <c r="N16" s="39" t="n">
        <f aca="false">IF($J16=1,ROUND($D16*100,0),0)</f>
        <v>0</v>
      </c>
      <c r="O16" s="40" t="str">
        <f aca="false">IF($J16&lt;&gt;1,"",IF(AND((WeekMon+WEEKDAY($K16,2)-1)&gt;=$K16,MOD((WeekMon+WEEKDAY($K16,2)-1)-$K16,$L16)=0,(WeekMon+WEEKDAY($K16,2)-1)&lt;=$M16),(WeekMon+WEEKDAY($K16,2)-1),""))</f>
        <v/>
      </c>
      <c r="P16" s="39" t="str">
        <f aca="false">IF($O16="","",($O16-WeekMon)*1000+ROW()-11)</f>
        <v/>
      </c>
    </row>
    <row r="17" customFormat="false" ht="15" hidden="false" customHeight="false" outlineLevel="0" collapsed="false">
      <c r="A17" s="33"/>
      <c r="B17" s="34"/>
      <c r="C17" s="33"/>
      <c r="D17" s="35"/>
      <c r="E17" s="34"/>
      <c r="F17" s="36" t="str">
        <f aca="false">IF(IF(ISNUMBER($B17),AND($B17=INT($B17),$B17&gt;=DATE(2000,1,1),$B17&lt;=DATE(2099,12,31)),FALSE()),CHOOSE(WEEKDAY($B17,2),"Monday","Tuesday","Wednesday","Thursday","Friday","Saturday","Sunday"),"")</f>
        <v/>
      </c>
      <c r="G17" s="36" t="str">
        <f aca="false">IF($J17&lt;&gt;1,"",MAX(0,INT((MIN(WinStart+83,$M17)-MAX($K17,$K17+ROUNDUP((WinStart-$K17)/$L17,0)*$L17))/$L17)+1))</f>
        <v/>
      </c>
      <c r="H17" s="37" t="str">
        <f aca="false">IF(AND($A17="",$B17="",$C17="",$D17="",$E17=""),"",IF($I17="","OK","Check details"))</f>
        <v/>
      </c>
      <c r="I17" s="38" t="str">
        <f aca="false">IF(AND($A17="",$B17="",$C17="",$D17="",$E17=""),"",TRIM(IF(TRIM($A17&amp;"")="","Label is missing. ","")&amp;IF($B17="","First visit is missing. ",IF(NOT(ISNUMBER($B17)),"First visit isn't a date (it's text). ",IF($B17&lt;&gt;INT($B17),"First visit has a time; enter a date only. ",IF(OR($B17&lt;DATE(2000,1,1),$B17&gt;DATE(2099,12,31)),"First visit must be from 2000 to 2099. ",""))))&amp;IF($C17="","Repeat every is missing. ",IF(ISNA(MATCH($C17&amp;"",{"Weekly","Every 2 weeks","Every 3 weeks","Every 4 weeks"},0)),"Repeat every must be Weekly or Every 2, 3 or 4 weeks. ",""))&amp;IF($D17="","Visit length is missing. ",IF(NOT(ISNUMBER($D17)),"Visit length must be a number of hours. ",IF($D17&lt;0,"Visit length can't be negative. ",IF($D17=0,"Visit length must be more than 0. ",IF(ABS($D17*100-ROUND($D17*100,0))&gt;0.000001,"Visit length: use up to 2 decimals. ",IF($D17&gt;24,"Visit length: 24 hours or less. ",""))))))&amp;IF($E17="","",IF(NOT(ISNUMBER($E17)),"Last visit isn't a date (it's text). ",IF($E17&lt;&gt;INT($E17),"Last visit has a time; enter a date only. ",IF(OR($E17&lt;DATE(2000,1,1),$E17&gt;DATE(2099,12,31)),"Last visit must be from 2000 to 2099. ",IF(AND(IF(ISNUMBER($B17),AND($B17=INT($B17),$B17&gt;=DATE(2000,1,1),$B17&lt;=DATE(2099,12,31)),FALSE()),$E17&lt;$B17),"Last visit is before the first visit. ","")))))))</f>
        <v/>
      </c>
      <c r="J17" s="39" t="n">
        <f aca="false">IF($H17="OK",1,0)</f>
        <v>0</v>
      </c>
      <c r="K17" s="40" t="n">
        <f aca="false">IF($J17=1,$B17,0)</f>
        <v>0</v>
      </c>
      <c r="L17" s="39" t="n">
        <f aca="false">IF($J17=1,7*MATCH($C17&amp;"",{"Weekly","Every 2 weeks","Every 3 weeks","Every 4 weeks"},0),7)</f>
        <v>7</v>
      </c>
      <c r="M17" s="40" t="n">
        <f aca="false">IF($J17=1,IF($E17="",2958465,$E17),0)</f>
        <v>0</v>
      </c>
      <c r="N17" s="39" t="n">
        <f aca="false">IF($J17=1,ROUND($D17*100,0),0)</f>
        <v>0</v>
      </c>
      <c r="O17" s="40" t="str">
        <f aca="false">IF($J17&lt;&gt;1,"",IF(AND((WeekMon+WEEKDAY($K17,2)-1)&gt;=$K17,MOD((WeekMon+WEEKDAY($K17,2)-1)-$K17,$L17)=0,(WeekMon+WEEKDAY($K17,2)-1)&lt;=$M17),(WeekMon+WEEKDAY($K17,2)-1),""))</f>
        <v/>
      </c>
      <c r="P17" s="39" t="str">
        <f aca="false">IF($O17="","",($O17-WeekMon)*1000+ROW()-11)</f>
        <v/>
      </c>
    </row>
    <row r="18" customFormat="false" ht="15" hidden="false" customHeight="false" outlineLevel="0" collapsed="false">
      <c r="A18" s="33"/>
      <c r="B18" s="34"/>
      <c r="C18" s="33"/>
      <c r="D18" s="35"/>
      <c r="E18" s="34"/>
      <c r="F18" s="36" t="str">
        <f aca="false">IF(IF(ISNUMBER($B18),AND($B18=INT($B18),$B18&gt;=DATE(2000,1,1),$B18&lt;=DATE(2099,12,31)),FALSE()),CHOOSE(WEEKDAY($B18,2),"Monday","Tuesday","Wednesday","Thursday","Friday","Saturday","Sunday"),"")</f>
        <v/>
      </c>
      <c r="G18" s="36" t="str">
        <f aca="false">IF($J18&lt;&gt;1,"",MAX(0,INT((MIN(WinStart+83,$M18)-MAX($K18,$K18+ROUNDUP((WinStart-$K18)/$L18,0)*$L18))/$L18)+1))</f>
        <v/>
      </c>
      <c r="H18" s="37" t="str">
        <f aca="false">IF(AND($A18="",$B18="",$C18="",$D18="",$E18=""),"",IF($I18="","OK","Check details"))</f>
        <v/>
      </c>
      <c r="I18" s="38" t="str">
        <f aca="false">IF(AND($A18="",$B18="",$C18="",$D18="",$E18=""),"",TRIM(IF(TRIM($A18&amp;"")="","Label is missing. ","")&amp;IF($B18="","First visit is missing. ",IF(NOT(ISNUMBER($B18)),"First visit isn't a date (it's text). ",IF($B18&lt;&gt;INT($B18),"First visit has a time; enter a date only. ",IF(OR($B18&lt;DATE(2000,1,1),$B18&gt;DATE(2099,12,31)),"First visit must be from 2000 to 2099. ",""))))&amp;IF($C18="","Repeat every is missing. ",IF(ISNA(MATCH($C18&amp;"",{"Weekly","Every 2 weeks","Every 3 weeks","Every 4 weeks"},0)),"Repeat every must be Weekly or Every 2, 3 or 4 weeks. ",""))&amp;IF($D18="","Visit length is missing. ",IF(NOT(ISNUMBER($D18)),"Visit length must be a number of hours. ",IF($D18&lt;0,"Visit length can't be negative. ",IF($D18=0,"Visit length must be more than 0. ",IF(ABS($D18*100-ROUND($D18*100,0))&gt;0.000001,"Visit length: use up to 2 decimals. ",IF($D18&gt;24,"Visit length: 24 hours or less. ",""))))))&amp;IF($E18="","",IF(NOT(ISNUMBER($E18)),"Last visit isn't a date (it's text). ",IF($E18&lt;&gt;INT($E18),"Last visit has a time; enter a date only. ",IF(OR($E18&lt;DATE(2000,1,1),$E18&gt;DATE(2099,12,31)),"Last visit must be from 2000 to 2099. ",IF(AND(IF(ISNUMBER($B18),AND($B18=INT($B18),$B18&gt;=DATE(2000,1,1),$B18&lt;=DATE(2099,12,31)),FALSE()),$E18&lt;$B18),"Last visit is before the first visit. ","")))))))</f>
        <v/>
      </c>
      <c r="J18" s="39" t="n">
        <f aca="false">IF($H18="OK",1,0)</f>
        <v>0</v>
      </c>
      <c r="K18" s="40" t="n">
        <f aca="false">IF($J18=1,$B18,0)</f>
        <v>0</v>
      </c>
      <c r="L18" s="39" t="n">
        <f aca="false">IF($J18=1,7*MATCH($C18&amp;"",{"Weekly","Every 2 weeks","Every 3 weeks","Every 4 weeks"},0),7)</f>
        <v>7</v>
      </c>
      <c r="M18" s="40" t="n">
        <f aca="false">IF($J18=1,IF($E18="",2958465,$E18),0)</f>
        <v>0</v>
      </c>
      <c r="N18" s="39" t="n">
        <f aca="false">IF($J18=1,ROUND($D18*100,0),0)</f>
        <v>0</v>
      </c>
      <c r="O18" s="40" t="str">
        <f aca="false">IF($J18&lt;&gt;1,"",IF(AND((WeekMon+WEEKDAY($K18,2)-1)&gt;=$K18,MOD((WeekMon+WEEKDAY($K18,2)-1)-$K18,$L18)=0,(WeekMon+WEEKDAY($K18,2)-1)&lt;=$M18),(WeekMon+WEEKDAY($K18,2)-1),""))</f>
        <v/>
      </c>
      <c r="P18" s="39" t="str">
        <f aca="false">IF($O18="","",($O18-WeekMon)*1000+ROW()-11)</f>
        <v/>
      </c>
    </row>
    <row r="19" customFormat="false" ht="15" hidden="false" customHeight="false" outlineLevel="0" collapsed="false">
      <c r="A19" s="33"/>
      <c r="B19" s="34"/>
      <c r="C19" s="33"/>
      <c r="D19" s="35"/>
      <c r="E19" s="34"/>
      <c r="F19" s="36" t="str">
        <f aca="false">IF(IF(ISNUMBER($B19),AND($B19=INT($B19),$B19&gt;=DATE(2000,1,1),$B19&lt;=DATE(2099,12,31)),FALSE()),CHOOSE(WEEKDAY($B19,2),"Monday","Tuesday","Wednesday","Thursday","Friday","Saturday","Sunday"),"")</f>
        <v/>
      </c>
      <c r="G19" s="36" t="str">
        <f aca="false">IF($J19&lt;&gt;1,"",MAX(0,INT((MIN(WinStart+83,$M19)-MAX($K19,$K19+ROUNDUP((WinStart-$K19)/$L19,0)*$L19))/$L19)+1))</f>
        <v/>
      </c>
      <c r="H19" s="37" t="str">
        <f aca="false">IF(AND($A19="",$B19="",$C19="",$D19="",$E19=""),"",IF($I19="","OK","Check details"))</f>
        <v/>
      </c>
      <c r="I19" s="38" t="str">
        <f aca="false">IF(AND($A19="",$B19="",$C19="",$D19="",$E19=""),"",TRIM(IF(TRIM($A19&amp;"")="","Label is missing. ","")&amp;IF($B19="","First visit is missing. ",IF(NOT(ISNUMBER($B19)),"First visit isn't a date (it's text). ",IF($B19&lt;&gt;INT($B19),"First visit has a time; enter a date only. ",IF(OR($B19&lt;DATE(2000,1,1),$B19&gt;DATE(2099,12,31)),"First visit must be from 2000 to 2099. ",""))))&amp;IF($C19="","Repeat every is missing. ",IF(ISNA(MATCH($C19&amp;"",{"Weekly","Every 2 weeks","Every 3 weeks","Every 4 weeks"},0)),"Repeat every must be Weekly or Every 2, 3 or 4 weeks. ",""))&amp;IF($D19="","Visit length is missing. ",IF(NOT(ISNUMBER($D19)),"Visit length must be a number of hours. ",IF($D19&lt;0,"Visit length can't be negative. ",IF($D19=0,"Visit length must be more than 0. ",IF(ABS($D19*100-ROUND($D19*100,0))&gt;0.000001,"Visit length: use up to 2 decimals. ",IF($D19&gt;24,"Visit length: 24 hours or less. ",""))))))&amp;IF($E19="","",IF(NOT(ISNUMBER($E19)),"Last visit isn't a date (it's text). ",IF($E19&lt;&gt;INT($E19),"Last visit has a time; enter a date only. ",IF(OR($E19&lt;DATE(2000,1,1),$E19&gt;DATE(2099,12,31)),"Last visit must be from 2000 to 2099. ",IF(AND(IF(ISNUMBER($B19),AND($B19=INT($B19),$B19&gt;=DATE(2000,1,1),$B19&lt;=DATE(2099,12,31)),FALSE()),$E19&lt;$B19),"Last visit is before the first visit. ","")))))))</f>
        <v/>
      </c>
      <c r="J19" s="39" t="n">
        <f aca="false">IF($H19="OK",1,0)</f>
        <v>0</v>
      </c>
      <c r="K19" s="40" t="n">
        <f aca="false">IF($J19=1,$B19,0)</f>
        <v>0</v>
      </c>
      <c r="L19" s="39" t="n">
        <f aca="false">IF($J19=1,7*MATCH($C19&amp;"",{"Weekly","Every 2 weeks","Every 3 weeks","Every 4 weeks"},0),7)</f>
        <v>7</v>
      </c>
      <c r="M19" s="40" t="n">
        <f aca="false">IF($J19=1,IF($E19="",2958465,$E19),0)</f>
        <v>0</v>
      </c>
      <c r="N19" s="39" t="n">
        <f aca="false">IF($J19=1,ROUND($D19*100,0),0)</f>
        <v>0</v>
      </c>
      <c r="O19" s="40" t="str">
        <f aca="false">IF($J19&lt;&gt;1,"",IF(AND((WeekMon+WEEKDAY($K19,2)-1)&gt;=$K19,MOD((WeekMon+WEEKDAY($K19,2)-1)-$K19,$L19)=0,(WeekMon+WEEKDAY($K19,2)-1)&lt;=$M19),(WeekMon+WEEKDAY($K19,2)-1),""))</f>
        <v/>
      </c>
      <c r="P19" s="39" t="str">
        <f aca="false">IF($O19="","",($O19-WeekMon)*1000+ROW()-11)</f>
        <v/>
      </c>
    </row>
    <row r="20" customFormat="false" ht="15" hidden="false" customHeight="false" outlineLevel="0" collapsed="false">
      <c r="A20" s="33"/>
      <c r="B20" s="34"/>
      <c r="C20" s="33"/>
      <c r="D20" s="35"/>
      <c r="E20" s="34"/>
      <c r="F20" s="36" t="str">
        <f aca="false">IF(IF(ISNUMBER($B20),AND($B20=INT($B20),$B20&gt;=DATE(2000,1,1),$B20&lt;=DATE(2099,12,31)),FALSE()),CHOOSE(WEEKDAY($B20,2),"Monday","Tuesday","Wednesday","Thursday","Friday","Saturday","Sunday"),"")</f>
        <v/>
      </c>
      <c r="G20" s="36" t="str">
        <f aca="false">IF($J20&lt;&gt;1,"",MAX(0,INT((MIN(WinStart+83,$M20)-MAX($K20,$K20+ROUNDUP((WinStart-$K20)/$L20,0)*$L20))/$L20)+1))</f>
        <v/>
      </c>
      <c r="H20" s="37" t="str">
        <f aca="false">IF(AND($A20="",$B20="",$C20="",$D20="",$E20=""),"",IF($I20="","OK","Check details"))</f>
        <v/>
      </c>
      <c r="I20" s="38" t="str">
        <f aca="false">IF(AND($A20="",$B20="",$C20="",$D20="",$E20=""),"",TRIM(IF(TRIM($A20&amp;"")="","Label is missing. ","")&amp;IF($B20="","First visit is missing. ",IF(NOT(ISNUMBER($B20)),"First visit isn't a date (it's text). ",IF($B20&lt;&gt;INT($B20),"First visit has a time; enter a date only. ",IF(OR($B20&lt;DATE(2000,1,1),$B20&gt;DATE(2099,12,31)),"First visit must be from 2000 to 2099. ",""))))&amp;IF($C20="","Repeat every is missing. ",IF(ISNA(MATCH($C20&amp;"",{"Weekly","Every 2 weeks","Every 3 weeks","Every 4 weeks"},0)),"Repeat every must be Weekly or Every 2, 3 or 4 weeks. ",""))&amp;IF($D20="","Visit length is missing. ",IF(NOT(ISNUMBER($D20)),"Visit length must be a number of hours. ",IF($D20&lt;0,"Visit length can't be negative. ",IF($D20=0,"Visit length must be more than 0. ",IF(ABS($D20*100-ROUND($D20*100,0))&gt;0.000001,"Visit length: use up to 2 decimals. ",IF($D20&gt;24,"Visit length: 24 hours or less. ",""))))))&amp;IF($E20="","",IF(NOT(ISNUMBER($E20)),"Last visit isn't a date (it's text). ",IF($E20&lt;&gt;INT($E20),"Last visit has a time; enter a date only. ",IF(OR($E20&lt;DATE(2000,1,1),$E20&gt;DATE(2099,12,31)),"Last visit must be from 2000 to 2099. ",IF(AND(IF(ISNUMBER($B20),AND($B20=INT($B20),$B20&gt;=DATE(2000,1,1),$B20&lt;=DATE(2099,12,31)),FALSE()),$E20&lt;$B20),"Last visit is before the first visit. ","")))))))</f>
        <v/>
      </c>
      <c r="J20" s="39" t="n">
        <f aca="false">IF($H20="OK",1,0)</f>
        <v>0</v>
      </c>
      <c r="K20" s="40" t="n">
        <f aca="false">IF($J20=1,$B20,0)</f>
        <v>0</v>
      </c>
      <c r="L20" s="39" t="n">
        <f aca="false">IF($J20=1,7*MATCH($C20&amp;"",{"Weekly","Every 2 weeks","Every 3 weeks","Every 4 weeks"},0),7)</f>
        <v>7</v>
      </c>
      <c r="M20" s="40" t="n">
        <f aca="false">IF($J20=1,IF($E20="",2958465,$E20),0)</f>
        <v>0</v>
      </c>
      <c r="N20" s="39" t="n">
        <f aca="false">IF($J20=1,ROUND($D20*100,0),0)</f>
        <v>0</v>
      </c>
      <c r="O20" s="40" t="str">
        <f aca="false">IF($J20&lt;&gt;1,"",IF(AND((WeekMon+WEEKDAY($K20,2)-1)&gt;=$K20,MOD((WeekMon+WEEKDAY($K20,2)-1)-$K20,$L20)=0,(WeekMon+WEEKDAY($K20,2)-1)&lt;=$M20),(WeekMon+WEEKDAY($K20,2)-1),""))</f>
        <v/>
      </c>
      <c r="P20" s="39" t="str">
        <f aca="false">IF($O20="","",($O20-WeekMon)*1000+ROW()-11)</f>
        <v/>
      </c>
    </row>
    <row r="21" customFormat="false" ht="15" hidden="false" customHeight="false" outlineLevel="0" collapsed="false">
      <c r="A21" s="33"/>
      <c r="B21" s="34"/>
      <c r="C21" s="33"/>
      <c r="D21" s="35"/>
      <c r="E21" s="34"/>
      <c r="F21" s="36" t="str">
        <f aca="false">IF(IF(ISNUMBER($B21),AND($B21=INT($B21),$B21&gt;=DATE(2000,1,1),$B21&lt;=DATE(2099,12,31)),FALSE()),CHOOSE(WEEKDAY($B21,2),"Monday","Tuesday","Wednesday","Thursday","Friday","Saturday","Sunday"),"")</f>
        <v/>
      </c>
      <c r="G21" s="36" t="str">
        <f aca="false">IF($J21&lt;&gt;1,"",MAX(0,INT((MIN(WinStart+83,$M21)-MAX($K21,$K21+ROUNDUP((WinStart-$K21)/$L21,0)*$L21))/$L21)+1))</f>
        <v/>
      </c>
      <c r="H21" s="37" t="str">
        <f aca="false">IF(AND($A21="",$B21="",$C21="",$D21="",$E21=""),"",IF($I21="","OK","Check details"))</f>
        <v/>
      </c>
      <c r="I21" s="38" t="str">
        <f aca="false">IF(AND($A21="",$B21="",$C21="",$D21="",$E21=""),"",TRIM(IF(TRIM($A21&amp;"")="","Label is missing. ","")&amp;IF($B21="","First visit is missing. ",IF(NOT(ISNUMBER($B21)),"First visit isn't a date (it's text). ",IF($B21&lt;&gt;INT($B21),"First visit has a time; enter a date only. ",IF(OR($B21&lt;DATE(2000,1,1),$B21&gt;DATE(2099,12,31)),"First visit must be from 2000 to 2099. ",""))))&amp;IF($C21="","Repeat every is missing. ",IF(ISNA(MATCH($C21&amp;"",{"Weekly","Every 2 weeks","Every 3 weeks","Every 4 weeks"},0)),"Repeat every must be Weekly or Every 2, 3 or 4 weeks. ",""))&amp;IF($D21="","Visit length is missing. ",IF(NOT(ISNUMBER($D21)),"Visit length must be a number of hours. ",IF($D21&lt;0,"Visit length can't be negative. ",IF($D21=0,"Visit length must be more than 0. ",IF(ABS($D21*100-ROUND($D21*100,0))&gt;0.000001,"Visit length: use up to 2 decimals. ",IF($D21&gt;24,"Visit length: 24 hours or less. ",""))))))&amp;IF($E21="","",IF(NOT(ISNUMBER($E21)),"Last visit isn't a date (it's text). ",IF($E21&lt;&gt;INT($E21),"Last visit has a time; enter a date only. ",IF(OR($E21&lt;DATE(2000,1,1),$E21&gt;DATE(2099,12,31)),"Last visit must be from 2000 to 2099. ",IF(AND(IF(ISNUMBER($B21),AND($B21=INT($B21),$B21&gt;=DATE(2000,1,1),$B21&lt;=DATE(2099,12,31)),FALSE()),$E21&lt;$B21),"Last visit is before the first visit. ","")))))))</f>
        <v/>
      </c>
      <c r="J21" s="39" t="n">
        <f aca="false">IF($H21="OK",1,0)</f>
        <v>0</v>
      </c>
      <c r="K21" s="40" t="n">
        <f aca="false">IF($J21=1,$B21,0)</f>
        <v>0</v>
      </c>
      <c r="L21" s="39" t="n">
        <f aca="false">IF($J21=1,7*MATCH($C21&amp;"",{"Weekly","Every 2 weeks","Every 3 weeks","Every 4 weeks"},0),7)</f>
        <v>7</v>
      </c>
      <c r="M21" s="40" t="n">
        <f aca="false">IF($J21=1,IF($E21="",2958465,$E21),0)</f>
        <v>0</v>
      </c>
      <c r="N21" s="39" t="n">
        <f aca="false">IF($J21=1,ROUND($D21*100,0),0)</f>
        <v>0</v>
      </c>
      <c r="O21" s="40" t="str">
        <f aca="false">IF($J21&lt;&gt;1,"",IF(AND((WeekMon+WEEKDAY($K21,2)-1)&gt;=$K21,MOD((WeekMon+WEEKDAY($K21,2)-1)-$K21,$L21)=0,(WeekMon+WEEKDAY($K21,2)-1)&lt;=$M21),(WeekMon+WEEKDAY($K21,2)-1),""))</f>
        <v/>
      </c>
      <c r="P21" s="39" t="str">
        <f aca="false">IF($O21="","",($O21-WeekMon)*1000+ROW()-11)</f>
        <v/>
      </c>
    </row>
    <row r="22" customFormat="false" ht="15" hidden="false" customHeight="false" outlineLevel="0" collapsed="false">
      <c r="A22" s="33"/>
      <c r="B22" s="34"/>
      <c r="C22" s="33"/>
      <c r="D22" s="35"/>
      <c r="E22" s="34"/>
      <c r="F22" s="36" t="str">
        <f aca="false">IF(IF(ISNUMBER($B22),AND($B22=INT($B22),$B22&gt;=DATE(2000,1,1),$B22&lt;=DATE(2099,12,31)),FALSE()),CHOOSE(WEEKDAY($B22,2),"Monday","Tuesday","Wednesday","Thursday","Friday","Saturday","Sunday"),"")</f>
        <v/>
      </c>
      <c r="G22" s="36" t="str">
        <f aca="false">IF($J22&lt;&gt;1,"",MAX(0,INT((MIN(WinStart+83,$M22)-MAX($K22,$K22+ROUNDUP((WinStart-$K22)/$L22,0)*$L22))/$L22)+1))</f>
        <v/>
      </c>
      <c r="H22" s="37" t="str">
        <f aca="false">IF(AND($A22="",$B22="",$C22="",$D22="",$E22=""),"",IF($I22="","OK","Check details"))</f>
        <v/>
      </c>
      <c r="I22" s="38" t="str">
        <f aca="false">IF(AND($A22="",$B22="",$C22="",$D22="",$E22=""),"",TRIM(IF(TRIM($A22&amp;"")="","Label is missing. ","")&amp;IF($B22="","First visit is missing. ",IF(NOT(ISNUMBER($B22)),"First visit isn't a date (it's text). ",IF($B22&lt;&gt;INT($B22),"First visit has a time; enter a date only. ",IF(OR($B22&lt;DATE(2000,1,1),$B22&gt;DATE(2099,12,31)),"First visit must be from 2000 to 2099. ",""))))&amp;IF($C22="","Repeat every is missing. ",IF(ISNA(MATCH($C22&amp;"",{"Weekly","Every 2 weeks","Every 3 weeks","Every 4 weeks"},0)),"Repeat every must be Weekly or Every 2, 3 or 4 weeks. ",""))&amp;IF($D22="","Visit length is missing. ",IF(NOT(ISNUMBER($D22)),"Visit length must be a number of hours. ",IF($D22&lt;0,"Visit length can't be negative. ",IF($D22=0,"Visit length must be more than 0. ",IF(ABS($D22*100-ROUND($D22*100,0))&gt;0.000001,"Visit length: use up to 2 decimals. ",IF($D22&gt;24,"Visit length: 24 hours or less. ",""))))))&amp;IF($E22="","",IF(NOT(ISNUMBER($E22)),"Last visit isn't a date (it's text). ",IF($E22&lt;&gt;INT($E22),"Last visit has a time; enter a date only. ",IF(OR($E22&lt;DATE(2000,1,1),$E22&gt;DATE(2099,12,31)),"Last visit must be from 2000 to 2099. ",IF(AND(IF(ISNUMBER($B22),AND($B22=INT($B22),$B22&gt;=DATE(2000,1,1),$B22&lt;=DATE(2099,12,31)),FALSE()),$E22&lt;$B22),"Last visit is before the first visit. ","")))))))</f>
        <v/>
      </c>
      <c r="J22" s="39" t="n">
        <f aca="false">IF($H22="OK",1,0)</f>
        <v>0</v>
      </c>
      <c r="K22" s="40" t="n">
        <f aca="false">IF($J22=1,$B22,0)</f>
        <v>0</v>
      </c>
      <c r="L22" s="39" t="n">
        <f aca="false">IF($J22=1,7*MATCH($C22&amp;"",{"Weekly","Every 2 weeks","Every 3 weeks","Every 4 weeks"},0),7)</f>
        <v>7</v>
      </c>
      <c r="M22" s="40" t="n">
        <f aca="false">IF($J22=1,IF($E22="",2958465,$E22),0)</f>
        <v>0</v>
      </c>
      <c r="N22" s="39" t="n">
        <f aca="false">IF($J22=1,ROUND($D22*100,0),0)</f>
        <v>0</v>
      </c>
      <c r="O22" s="40" t="str">
        <f aca="false">IF($J22&lt;&gt;1,"",IF(AND((WeekMon+WEEKDAY($K22,2)-1)&gt;=$K22,MOD((WeekMon+WEEKDAY($K22,2)-1)-$K22,$L22)=0,(WeekMon+WEEKDAY($K22,2)-1)&lt;=$M22),(WeekMon+WEEKDAY($K22,2)-1),""))</f>
        <v/>
      </c>
      <c r="P22" s="39" t="str">
        <f aca="false">IF($O22="","",($O22-WeekMon)*1000+ROW()-11)</f>
        <v/>
      </c>
    </row>
    <row r="23" customFormat="false" ht="15" hidden="false" customHeight="false" outlineLevel="0" collapsed="false">
      <c r="A23" s="33"/>
      <c r="B23" s="34"/>
      <c r="C23" s="33"/>
      <c r="D23" s="35"/>
      <c r="E23" s="34"/>
      <c r="F23" s="36" t="str">
        <f aca="false">IF(IF(ISNUMBER($B23),AND($B23=INT($B23),$B23&gt;=DATE(2000,1,1),$B23&lt;=DATE(2099,12,31)),FALSE()),CHOOSE(WEEKDAY($B23,2),"Monday","Tuesday","Wednesday","Thursday","Friday","Saturday","Sunday"),"")</f>
        <v/>
      </c>
      <c r="G23" s="36" t="str">
        <f aca="false">IF($J23&lt;&gt;1,"",MAX(0,INT((MIN(WinStart+83,$M23)-MAX($K23,$K23+ROUNDUP((WinStart-$K23)/$L23,0)*$L23))/$L23)+1))</f>
        <v/>
      </c>
      <c r="H23" s="37" t="str">
        <f aca="false">IF(AND($A23="",$B23="",$C23="",$D23="",$E23=""),"",IF($I23="","OK","Check details"))</f>
        <v/>
      </c>
      <c r="I23" s="38" t="str">
        <f aca="false">IF(AND($A23="",$B23="",$C23="",$D23="",$E23=""),"",TRIM(IF(TRIM($A23&amp;"")="","Label is missing. ","")&amp;IF($B23="","First visit is missing. ",IF(NOT(ISNUMBER($B23)),"First visit isn't a date (it's text). ",IF($B23&lt;&gt;INT($B23),"First visit has a time; enter a date only. ",IF(OR($B23&lt;DATE(2000,1,1),$B23&gt;DATE(2099,12,31)),"First visit must be from 2000 to 2099. ",""))))&amp;IF($C23="","Repeat every is missing. ",IF(ISNA(MATCH($C23&amp;"",{"Weekly","Every 2 weeks","Every 3 weeks","Every 4 weeks"},0)),"Repeat every must be Weekly or Every 2, 3 or 4 weeks. ",""))&amp;IF($D23="","Visit length is missing. ",IF(NOT(ISNUMBER($D23)),"Visit length must be a number of hours. ",IF($D23&lt;0,"Visit length can't be negative. ",IF($D23=0,"Visit length must be more than 0. ",IF(ABS($D23*100-ROUND($D23*100,0))&gt;0.000001,"Visit length: use up to 2 decimals. ",IF($D23&gt;24,"Visit length: 24 hours or less. ",""))))))&amp;IF($E23="","",IF(NOT(ISNUMBER($E23)),"Last visit isn't a date (it's text). ",IF($E23&lt;&gt;INT($E23),"Last visit has a time; enter a date only. ",IF(OR($E23&lt;DATE(2000,1,1),$E23&gt;DATE(2099,12,31)),"Last visit must be from 2000 to 2099. ",IF(AND(IF(ISNUMBER($B23),AND($B23=INT($B23),$B23&gt;=DATE(2000,1,1),$B23&lt;=DATE(2099,12,31)),FALSE()),$E23&lt;$B23),"Last visit is before the first visit. ","")))))))</f>
        <v/>
      </c>
      <c r="J23" s="39" t="n">
        <f aca="false">IF($H23="OK",1,0)</f>
        <v>0</v>
      </c>
      <c r="K23" s="40" t="n">
        <f aca="false">IF($J23=1,$B23,0)</f>
        <v>0</v>
      </c>
      <c r="L23" s="39" t="n">
        <f aca="false">IF($J23=1,7*MATCH($C23&amp;"",{"Weekly","Every 2 weeks","Every 3 weeks","Every 4 weeks"},0),7)</f>
        <v>7</v>
      </c>
      <c r="M23" s="40" t="n">
        <f aca="false">IF($J23=1,IF($E23="",2958465,$E23),0)</f>
        <v>0</v>
      </c>
      <c r="N23" s="39" t="n">
        <f aca="false">IF($J23=1,ROUND($D23*100,0),0)</f>
        <v>0</v>
      </c>
      <c r="O23" s="40" t="str">
        <f aca="false">IF($J23&lt;&gt;1,"",IF(AND((WeekMon+WEEKDAY($K23,2)-1)&gt;=$K23,MOD((WeekMon+WEEKDAY($K23,2)-1)-$K23,$L23)=0,(WeekMon+WEEKDAY($K23,2)-1)&lt;=$M23),(WeekMon+WEEKDAY($K23,2)-1),""))</f>
        <v/>
      </c>
      <c r="P23" s="39" t="str">
        <f aca="false">IF($O23="","",($O23-WeekMon)*1000+ROW()-11)</f>
        <v/>
      </c>
    </row>
    <row r="24" customFormat="false" ht="15" hidden="false" customHeight="false" outlineLevel="0" collapsed="false">
      <c r="A24" s="33"/>
      <c r="B24" s="34"/>
      <c r="C24" s="33"/>
      <c r="D24" s="35"/>
      <c r="E24" s="34"/>
      <c r="F24" s="36" t="str">
        <f aca="false">IF(IF(ISNUMBER($B24),AND($B24=INT($B24),$B24&gt;=DATE(2000,1,1),$B24&lt;=DATE(2099,12,31)),FALSE()),CHOOSE(WEEKDAY($B24,2),"Monday","Tuesday","Wednesday","Thursday","Friday","Saturday","Sunday"),"")</f>
        <v/>
      </c>
      <c r="G24" s="36" t="str">
        <f aca="false">IF($J24&lt;&gt;1,"",MAX(0,INT((MIN(WinStart+83,$M24)-MAX($K24,$K24+ROUNDUP((WinStart-$K24)/$L24,0)*$L24))/$L24)+1))</f>
        <v/>
      </c>
      <c r="H24" s="37" t="str">
        <f aca="false">IF(AND($A24="",$B24="",$C24="",$D24="",$E24=""),"",IF($I24="","OK","Check details"))</f>
        <v/>
      </c>
      <c r="I24" s="38" t="str">
        <f aca="false">IF(AND($A24="",$B24="",$C24="",$D24="",$E24=""),"",TRIM(IF(TRIM($A24&amp;"")="","Label is missing. ","")&amp;IF($B24="","First visit is missing. ",IF(NOT(ISNUMBER($B24)),"First visit isn't a date (it's text). ",IF($B24&lt;&gt;INT($B24),"First visit has a time; enter a date only. ",IF(OR($B24&lt;DATE(2000,1,1),$B24&gt;DATE(2099,12,31)),"First visit must be from 2000 to 2099. ",""))))&amp;IF($C24="","Repeat every is missing. ",IF(ISNA(MATCH($C24&amp;"",{"Weekly","Every 2 weeks","Every 3 weeks","Every 4 weeks"},0)),"Repeat every must be Weekly or Every 2, 3 or 4 weeks. ",""))&amp;IF($D24="","Visit length is missing. ",IF(NOT(ISNUMBER($D24)),"Visit length must be a number of hours. ",IF($D24&lt;0,"Visit length can't be negative. ",IF($D24=0,"Visit length must be more than 0. ",IF(ABS($D24*100-ROUND($D24*100,0))&gt;0.000001,"Visit length: use up to 2 decimals. ",IF($D24&gt;24,"Visit length: 24 hours or less. ",""))))))&amp;IF($E24="","",IF(NOT(ISNUMBER($E24)),"Last visit isn't a date (it's text). ",IF($E24&lt;&gt;INT($E24),"Last visit has a time; enter a date only. ",IF(OR($E24&lt;DATE(2000,1,1),$E24&gt;DATE(2099,12,31)),"Last visit must be from 2000 to 2099. ",IF(AND(IF(ISNUMBER($B24),AND($B24=INT($B24),$B24&gt;=DATE(2000,1,1),$B24&lt;=DATE(2099,12,31)),FALSE()),$E24&lt;$B24),"Last visit is before the first visit. ","")))))))</f>
        <v/>
      </c>
      <c r="J24" s="39" t="n">
        <f aca="false">IF($H24="OK",1,0)</f>
        <v>0</v>
      </c>
      <c r="K24" s="40" t="n">
        <f aca="false">IF($J24=1,$B24,0)</f>
        <v>0</v>
      </c>
      <c r="L24" s="39" t="n">
        <f aca="false">IF($J24=1,7*MATCH($C24&amp;"",{"Weekly","Every 2 weeks","Every 3 weeks","Every 4 weeks"},0),7)</f>
        <v>7</v>
      </c>
      <c r="M24" s="40" t="n">
        <f aca="false">IF($J24=1,IF($E24="",2958465,$E24),0)</f>
        <v>0</v>
      </c>
      <c r="N24" s="39" t="n">
        <f aca="false">IF($J24=1,ROUND($D24*100,0),0)</f>
        <v>0</v>
      </c>
      <c r="O24" s="40" t="str">
        <f aca="false">IF($J24&lt;&gt;1,"",IF(AND((WeekMon+WEEKDAY($K24,2)-1)&gt;=$K24,MOD((WeekMon+WEEKDAY($K24,2)-1)-$K24,$L24)=0,(WeekMon+WEEKDAY($K24,2)-1)&lt;=$M24),(WeekMon+WEEKDAY($K24,2)-1),""))</f>
        <v/>
      </c>
      <c r="P24" s="39" t="str">
        <f aca="false">IF($O24="","",($O24-WeekMon)*1000+ROW()-11)</f>
        <v/>
      </c>
    </row>
    <row r="25" customFormat="false" ht="15" hidden="false" customHeight="false" outlineLevel="0" collapsed="false">
      <c r="A25" s="33"/>
      <c r="B25" s="34"/>
      <c r="C25" s="33"/>
      <c r="D25" s="35"/>
      <c r="E25" s="34"/>
      <c r="F25" s="36" t="str">
        <f aca="false">IF(IF(ISNUMBER($B25),AND($B25=INT($B25),$B25&gt;=DATE(2000,1,1),$B25&lt;=DATE(2099,12,31)),FALSE()),CHOOSE(WEEKDAY($B25,2),"Monday","Tuesday","Wednesday","Thursday","Friday","Saturday","Sunday"),"")</f>
        <v/>
      </c>
      <c r="G25" s="36" t="str">
        <f aca="false">IF($J25&lt;&gt;1,"",MAX(0,INT((MIN(WinStart+83,$M25)-MAX($K25,$K25+ROUNDUP((WinStart-$K25)/$L25,0)*$L25))/$L25)+1))</f>
        <v/>
      </c>
      <c r="H25" s="37" t="str">
        <f aca="false">IF(AND($A25="",$B25="",$C25="",$D25="",$E25=""),"",IF($I25="","OK","Check details"))</f>
        <v/>
      </c>
      <c r="I25" s="38" t="str">
        <f aca="false">IF(AND($A25="",$B25="",$C25="",$D25="",$E25=""),"",TRIM(IF(TRIM($A25&amp;"")="","Label is missing. ","")&amp;IF($B25="","First visit is missing. ",IF(NOT(ISNUMBER($B25)),"First visit isn't a date (it's text). ",IF($B25&lt;&gt;INT($B25),"First visit has a time; enter a date only. ",IF(OR($B25&lt;DATE(2000,1,1),$B25&gt;DATE(2099,12,31)),"First visit must be from 2000 to 2099. ",""))))&amp;IF($C25="","Repeat every is missing. ",IF(ISNA(MATCH($C25&amp;"",{"Weekly","Every 2 weeks","Every 3 weeks","Every 4 weeks"},0)),"Repeat every must be Weekly or Every 2, 3 or 4 weeks. ",""))&amp;IF($D25="","Visit length is missing. ",IF(NOT(ISNUMBER($D25)),"Visit length must be a number of hours. ",IF($D25&lt;0,"Visit length can't be negative. ",IF($D25=0,"Visit length must be more than 0. ",IF(ABS($D25*100-ROUND($D25*100,0))&gt;0.000001,"Visit length: use up to 2 decimals. ",IF($D25&gt;24,"Visit length: 24 hours or less. ",""))))))&amp;IF($E25="","",IF(NOT(ISNUMBER($E25)),"Last visit isn't a date (it's text). ",IF($E25&lt;&gt;INT($E25),"Last visit has a time; enter a date only. ",IF(OR($E25&lt;DATE(2000,1,1),$E25&gt;DATE(2099,12,31)),"Last visit must be from 2000 to 2099. ",IF(AND(IF(ISNUMBER($B25),AND($B25=INT($B25),$B25&gt;=DATE(2000,1,1),$B25&lt;=DATE(2099,12,31)),FALSE()),$E25&lt;$B25),"Last visit is before the first visit. ","")))))))</f>
        <v/>
      </c>
      <c r="J25" s="39" t="n">
        <f aca="false">IF($H25="OK",1,0)</f>
        <v>0</v>
      </c>
      <c r="K25" s="40" t="n">
        <f aca="false">IF($J25=1,$B25,0)</f>
        <v>0</v>
      </c>
      <c r="L25" s="39" t="n">
        <f aca="false">IF($J25=1,7*MATCH($C25&amp;"",{"Weekly","Every 2 weeks","Every 3 weeks","Every 4 weeks"},0),7)</f>
        <v>7</v>
      </c>
      <c r="M25" s="40" t="n">
        <f aca="false">IF($J25=1,IF($E25="",2958465,$E25),0)</f>
        <v>0</v>
      </c>
      <c r="N25" s="39" t="n">
        <f aca="false">IF($J25=1,ROUND($D25*100,0),0)</f>
        <v>0</v>
      </c>
      <c r="O25" s="40" t="str">
        <f aca="false">IF($J25&lt;&gt;1,"",IF(AND((WeekMon+WEEKDAY($K25,2)-1)&gt;=$K25,MOD((WeekMon+WEEKDAY($K25,2)-1)-$K25,$L25)=0,(WeekMon+WEEKDAY($K25,2)-1)&lt;=$M25),(WeekMon+WEEKDAY($K25,2)-1),""))</f>
        <v/>
      </c>
      <c r="P25" s="39" t="str">
        <f aca="false">IF($O25="","",($O25-WeekMon)*1000+ROW()-11)</f>
        <v/>
      </c>
    </row>
    <row r="26" customFormat="false" ht="15" hidden="false" customHeight="false" outlineLevel="0" collapsed="false">
      <c r="A26" s="33"/>
      <c r="B26" s="34"/>
      <c r="C26" s="33"/>
      <c r="D26" s="35"/>
      <c r="E26" s="34"/>
      <c r="F26" s="36" t="str">
        <f aca="false">IF(IF(ISNUMBER($B26),AND($B26=INT($B26),$B26&gt;=DATE(2000,1,1),$B26&lt;=DATE(2099,12,31)),FALSE()),CHOOSE(WEEKDAY($B26,2),"Monday","Tuesday","Wednesday","Thursday","Friday","Saturday","Sunday"),"")</f>
        <v/>
      </c>
      <c r="G26" s="36" t="str">
        <f aca="false">IF($J26&lt;&gt;1,"",MAX(0,INT((MIN(WinStart+83,$M26)-MAX($K26,$K26+ROUNDUP((WinStart-$K26)/$L26,0)*$L26))/$L26)+1))</f>
        <v/>
      </c>
      <c r="H26" s="37" t="str">
        <f aca="false">IF(AND($A26="",$B26="",$C26="",$D26="",$E26=""),"",IF($I26="","OK","Check details"))</f>
        <v/>
      </c>
      <c r="I26" s="38" t="str">
        <f aca="false">IF(AND($A26="",$B26="",$C26="",$D26="",$E26=""),"",TRIM(IF(TRIM($A26&amp;"")="","Label is missing. ","")&amp;IF($B26="","First visit is missing. ",IF(NOT(ISNUMBER($B26)),"First visit isn't a date (it's text). ",IF($B26&lt;&gt;INT($B26),"First visit has a time; enter a date only. ",IF(OR($B26&lt;DATE(2000,1,1),$B26&gt;DATE(2099,12,31)),"First visit must be from 2000 to 2099. ",""))))&amp;IF($C26="","Repeat every is missing. ",IF(ISNA(MATCH($C26&amp;"",{"Weekly","Every 2 weeks","Every 3 weeks","Every 4 weeks"},0)),"Repeat every must be Weekly or Every 2, 3 or 4 weeks. ",""))&amp;IF($D26="","Visit length is missing. ",IF(NOT(ISNUMBER($D26)),"Visit length must be a number of hours. ",IF($D26&lt;0,"Visit length can't be negative. ",IF($D26=0,"Visit length must be more than 0. ",IF(ABS($D26*100-ROUND($D26*100,0))&gt;0.000001,"Visit length: use up to 2 decimals. ",IF($D26&gt;24,"Visit length: 24 hours or less. ",""))))))&amp;IF($E26="","",IF(NOT(ISNUMBER($E26)),"Last visit isn't a date (it's text). ",IF($E26&lt;&gt;INT($E26),"Last visit has a time; enter a date only. ",IF(OR($E26&lt;DATE(2000,1,1),$E26&gt;DATE(2099,12,31)),"Last visit must be from 2000 to 2099. ",IF(AND(IF(ISNUMBER($B26),AND($B26=INT($B26),$B26&gt;=DATE(2000,1,1),$B26&lt;=DATE(2099,12,31)),FALSE()),$E26&lt;$B26),"Last visit is before the first visit. ","")))))))</f>
        <v/>
      </c>
      <c r="J26" s="39" t="n">
        <f aca="false">IF($H26="OK",1,0)</f>
        <v>0</v>
      </c>
      <c r="K26" s="40" t="n">
        <f aca="false">IF($J26=1,$B26,0)</f>
        <v>0</v>
      </c>
      <c r="L26" s="39" t="n">
        <f aca="false">IF($J26=1,7*MATCH($C26&amp;"",{"Weekly","Every 2 weeks","Every 3 weeks","Every 4 weeks"},0),7)</f>
        <v>7</v>
      </c>
      <c r="M26" s="40" t="n">
        <f aca="false">IF($J26=1,IF($E26="",2958465,$E26),0)</f>
        <v>0</v>
      </c>
      <c r="N26" s="39" t="n">
        <f aca="false">IF($J26=1,ROUND($D26*100,0),0)</f>
        <v>0</v>
      </c>
      <c r="O26" s="40" t="str">
        <f aca="false">IF($J26&lt;&gt;1,"",IF(AND((WeekMon+WEEKDAY($K26,2)-1)&gt;=$K26,MOD((WeekMon+WEEKDAY($K26,2)-1)-$K26,$L26)=0,(WeekMon+WEEKDAY($K26,2)-1)&lt;=$M26),(WeekMon+WEEKDAY($K26,2)-1),""))</f>
        <v/>
      </c>
      <c r="P26" s="39" t="str">
        <f aca="false">IF($O26="","",($O26-WeekMon)*1000+ROW()-11)</f>
        <v/>
      </c>
    </row>
    <row r="27" customFormat="false" ht="15" hidden="false" customHeight="false" outlineLevel="0" collapsed="false">
      <c r="A27" s="33"/>
      <c r="B27" s="34"/>
      <c r="C27" s="33"/>
      <c r="D27" s="35"/>
      <c r="E27" s="34"/>
      <c r="F27" s="36" t="str">
        <f aca="false">IF(IF(ISNUMBER($B27),AND($B27=INT($B27),$B27&gt;=DATE(2000,1,1),$B27&lt;=DATE(2099,12,31)),FALSE()),CHOOSE(WEEKDAY($B27,2),"Monday","Tuesday","Wednesday","Thursday","Friday","Saturday","Sunday"),"")</f>
        <v/>
      </c>
      <c r="G27" s="36" t="str">
        <f aca="false">IF($J27&lt;&gt;1,"",MAX(0,INT((MIN(WinStart+83,$M27)-MAX($K27,$K27+ROUNDUP((WinStart-$K27)/$L27,0)*$L27))/$L27)+1))</f>
        <v/>
      </c>
      <c r="H27" s="37" t="str">
        <f aca="false">IF(AND($A27="",$B27="",$C27="",$D27="",$E27=""),"",IF($I27="","OK","Check details"))</f>
        <v/>
      </c>
      <c r="I27" s="38" t="str">
        <f aca="false">IF(AND($A27="",$B27="",$C27="",$D27="",$E27=""),"",TRIM(IF(TRIM($A27&amp;"")="","Label is missing. ","")&amp;IF($B27="","First visit is missing. ",IF(NOT(ISNUMBER($B27)),"First visit isn't a date (it's text). ",IF($B27&lt;&gt;INT($B27),"First visit has a time; enter a date only. ",IF(OR($B27&lt;DATE(2000,1,1),$B27&gt;DATE(2099,12,31)),"First visit must be from 2000 to 2099. ",""))))&amp;IF($C27="","Repeat every is missing. ",IF(ISNA(MATCH($C27&amp;"",{"Weekly","Every 2 weeks","Every 3 weeks","Every 4 weeks"},0)),"Repeat every must be Weekly or Every 2, 3 or 4 weeks. ",""))&amp;IF($D27="","Visit length is missing. ",IF(NOT(ISNUMBER($D27)),"Visit length must be a number of hours. ",IF($D27&lt;0,"Visit length can't be negative. ",IF($D27=0,"Visit length must be more than 0. ",IF(ABS($D27*100-ROUND($D27*100,0))&gt;0.000001,"Visit length: use up to 2 decimals. ",IF($D27&gt;24,"Visit length: 24 hours or less. ",""))))))&amp;IF($E27="","",IF(NOT(ISNUMBER($E27)),"Last visit isn't a date (it's text). ",IF($E27&lt;&gt;INT($E27),"Last visit has a time; enter a date only. ",IF(OR($E27&lt;DATE(2000,1,1),$E27&gt;DATE(2099,12,31)),"Last visit must be from 2000 to 2099. ",IF(AND(IF(ISNUMBER($B27),AND($B27=INT($B27),$B27&gt;=DATE(2000,1,1),$B27&lt;=DATE(2099,12,31)),FALSE()),$E27&lt;$B27),"Last visit is before the first visit. ","")))))))</f>
        <v/>
      </c>
      <c r="J27" s="39" t="n">
        <f aca="false">IF($H27="OK",1,0)</f>
        <v>0</v>
      </c>
      <c r="K27" s="40" t="n">
        <f aca="false">IF($J27=1,$B27,0)</f>
        <v>0</v>
      </c>
      <c r="L27" s="39" t="n">
        <f aca="false">IF($J27=1,7*MATCH($C27&amp;"",{"Weekly","Every 2 weeks","Every 3 weeks","Every 4 weeks"},0),7)</f>
        <v>7</v>
      </c>
      <c r="M27" s="40" t="n">
        <f aca="false">IF($J27=1,IF($E27="",2958465,$E27),0)</f>
        <v>0</v>
      </c>
      <c r="N27" s="39" t="n">
        <f aca="false">IF($J27=1,ROUND($D27*100,0),0)</f>
        <v>0</v>
      </c>
      <c r="O27" s="40" t="str">
        <f aca="false">IF($J27&lt;&gt;1,"",IF(AND((WeekMon+WEEKDAY($K27,2)-1)&gt;=$K27,MOD((WeekMon+WEEKDAY($K27,2)-1)-$K27,$L27)=0,(WeekMon+WEEKDAY($K27,2)-1)&lt;=$M27),(WeekMon+WEEKDAY($K27,2)-1),""))</f>
        <v/>
      </c>
      <c r="P27" s="39" t="str">
        <f aca="false">IF($O27="","",($O27-WeekMon)*1000+ROW()-11)</f>
        <v/>
      </c>
    </row>
    <row r="28" customFormat="false" ht="15" hidden="false" customHeight="false" outlineLevel="0" collapsed="false">
      <c r="A28" s="33"/>
      <c r="B28" s="34"/>
      <c r="C28" s="33"/>
      <c r="D28" s="35"/>
      <c r="E28" s="34"/>
      <c r="F28" s="36" t="str">
        <f aca="false">IF(IF(ISNUMBER($B28),AND($B28=INT($B28),$B28&gt;=DATE(2000,1,1),$B28&lt;=DATE(2099,12,31)),FALSE()),CHOOSE(WEEKDAY($B28,2),"Monday","Tuesday","Wednesday","Thursday","Friday","Saturday","Sunday"),"")</f>
        <v/>
      </c>
      <c r="G28" s="36" t="str">
        <f aca="false">IF($J28&lt;&gt;1,"",MAX(0,INT((MIN(WinStart+83,$M28)-MAX($K28,$K28+ROUNDUP((WinStart-$K28)/$L28,0)*$L28))/$L28)+1))</f>
        <v/>
      </c>
      <c r="H28" s="37" t="str">
        <f aca="false">IF(AND($A28="",$B28="",$C28="",$D28="",$E28=""),"",IF($I28="","OK","Check details"))</f>
        <v/>
      </c>
      <c r="I28" s="38" t="str">
        <f aca="false">IF(AND($A28="",$B28="",$C28="",$D28="",$E28=""),"",TRIM(IF(TRIM($A28&amp;"")="","Label is missing. ","")&amp;IF($B28="","First visit is missing. ",IF(NOT(ISNUMBER($B28)),"First visit isn't a date (it's text). ",IF($B28&lt;&gt;INT($B28),"First visit has a time; enter a date only. ",IF(OR($B28&lt;DATE(2000,1,1),$B28&gt;DATE(2099,12,31)),"First visit must be from 2000 to 2099. ",""))))&amp;IF($C28="","Repeat every is missing. ",IF(ISNA(MATCH($C28&amp;"",{"Weekly","Every 2 weeks","Every 3 weeks","Every 4 weeks"},0)),"Repeat every must be Weekly or Every 2, 3 or 4 weeks. ",""))&amp;IF($D28="","Visit length is missing. ",IF(NOT(ISNUMBER($D28)),"Visit length must be a number of hours. ",IF($D28&lt;0,"Visit length can't be negative. ",IF($D28=0,"Visit length must be more than 0. ",IF(ABS($D28*100-ROUND($D28*100,0))&gt;0.000001,"Visit length: use up to 2 decimals. ",IF($D28&gt;24,"Visit length: 24 hours or less. ",""))))))&amp;IF($E28="","",IF(NOT(ISNUMBER($E28)),"Last visit isn't a date (it's text). ",IF($E28&lt;&gt;INT($E28),"Last visit has a time; enter a date only. ",IF(OR($E28&lt;DATE(2000,1,1),$E28&gt;DATE(2099,12,31)),"Last visit must be from 2000 to 2099. ",IF(AND(IF(ISNUMBER($B28),AND($B28=INT($B28),$B28&gt;=DATE(2000,1,1),$B28&lt;=DATE(2099,12,31)),FALSE()),$E28&lt;$B28),"Last visit is before the first visit. ","")))))))</f>
        <v/>
      </c>
      <c r="J28" s="39" t="n">
        <f aca="false">IF($H28="OK",1,0)</f>
        <v>0</v>
      </c>
      <c r="K28" s="40" t="n">
        <f aca="false">IF($J28=1,$B28,0)</f>
        <v>0</v>
      </c>
      <c r="L28" s="39" t="n">
        <f aca="false">IF($J28=1,7*MATCH($C28&amp;"",{"Weekly","Every 2 weeks","Every 3 weeks","Every 4 weeks"},0),7)</f>
        <v>7</v>
      </c>
      <c r="M28" s="40" t="n">
        <f aca="false">IF($J28=1,IF($E28="",2958465,$E28),0)</f>
        <v>0</v>
      </c>
      <c r="N28" s="39" t="n">
        <f aca="false">IF($J28=1,ROUND($D28*100,0),0)</f>
        <v>0</v>
      </c>
      <c r="O28" s="40" t="str">
        <f aca="false">IF($J28&lt;&gt;1,"",IF(AND((WeekMon+WEEKDAY($K28,2)-1)&gt;=$K28,MOD((WeekMon+WEEKDAY($K28,2)-1)-$K28,$L28)=0,(WeekMon+WEEKDAY($K28,2)-1)&lt;=$M28),(WeekMon+WEEKDAY($K28,2)-1),""))</f>
        <v/>
      </c>
      <c r="P28" s="39" t="str">
        <f aca="false">IF($O28="","",($O28-WeekMon)*1000+ROW()-11)</f>
        <v/>
      </c>
    </row>
    <row r="29" customFormat="false" ht="15" hidden="false" customHeight="false" outlineLevel="0" collapsed="false">
      <c r="A29" s="33"/>
      <c r="B29" s="34"/>
      <c r="C29" s="33"/>
      <c r="D29" s="35"/>
      <c r="E29" s="34"/>
      <c r="F29" s="36" t="str">
        <f aca="false">IF(IF(ISNUMBER($B29),AND($B29=INT($B29),$B29&gt;=DATE(2000,1,1),$B29&lt;=DATE(2099,12,31)),FALSE()),CHOOSE(WEEKDAY($B29,2),"Monday","Tuesday","Wednesday","Thursday","Friday","Saturday","Sunday"),"")</f>
        <v/>
      </c>
      <c r="G29" s="36" t="str">
        <f aca="false">IF($J29&lt;&gt;1,"",MAX(0,INT((MIN(WinStart+83,$M29)-MAX($K29,$K29+ROUNDUP((WinStart-$K29)/$L29,0)*$L29))/$L29)+1))</f>
        <v/>
      </c>
      <c r="H29" s="37" t="str">
        <f aca="false">IF(AND($A29="",$B29="",$C29="",$D29="",$E29=""),"",IF($I29="","OK","Check details"))</f>
        <v/>
      </c>
      <c r="I29" s="38" t="str">
        <f aca="false">IF(AND($A29="",$B29="",$C29="",$D29="",$E29=""),"",TRIM(IF(TRIM($A29&amp;"")="","Label is missing. ","")&amp;IF($B29="","First visit is missing. ",IF(NOT(ISNUMBER($B29)),"First visit isn't a date (it's text). ",IF($B29&lt;&gt;INT($B29),"First visit has a time; enter a date only. ",IF(OR($B29&lt;DATE(2000,1,1),$B29&gt;DATE(2099,12,31)),"First visit must be from 2000 to 2099. ",""))))&amp;IF($C29="","Repeat every is missing. ",IF(ISNA(MATCH($C29&amp;"",{"Weekly","Every 2 weeks","Every 3 weeks","Every 4 weeks"},0)),"Repeat every must be Weekly or Every 2, 3 or 4 weeks. ",""))&amp;IF($D29="","Visit length is missing. ",IF(NOT(ISNUMBER($D29)),"Visit length must be a number of hours. ",IF($D29&lt;0,"Visit length can't be negative. ",IF($D29=0,"Visit length must be more than 0. ",IF(ABS($D29*100-ROUND($D29*100,0))&gt;0.000001,"Visit length: use up to 2 decimals. ",IF($D29&gt;24,"Visit length: 24 hours or less. ",""))))))&amp;IF($E29="","",IF(NOT(ISNUMBER($E29)),"Last visit isn't a date (it's text). ",IF($E29&lt;&gt;INT($E29),"Last visit has a time; enter a date only. ",IF(OR($E29&lt;DATE(2000,1,1),$E29&gt;DATE(2099,12,31)),"Last visit must be from 2000 to 2099. ",IF(AND(IF(ISNUMBER($B29),AND($B29=INT($B29),$B29&gt;=DATE(2000,1,1),$B29&lt;=DATE(2099,12,31)),FALSE()),$E29&lt;$B29),"Last visit is before the first visit. ","")))))))</f>
        <v/>
      </c>
      <c r="J29" s="39" t="n">
        <f aca="false">IF($H29="OK",1,0)</f>
        <v>0</v>
      </c>
      <c r="K29" s="40" t="n">
        <f aca="false">IF($J29=1,$B29,0)</f>
        <v>0</v>
      </c>
      <c r="L29" s="39" t="n">
        <f aca="false">IF($J29=1,7*MATCH($C29&amp;"",{"Weekly","Every 2 weeks","Every 3 weeks","Every 4 weeks"},0),7)</f>
        <v>7</v>
      </c>
      <c r="M29" s="40" t="n">
        <f aca="false">IF($J29=1,IF($E29="",2958465,$E29),0)</f>
        <v>0</v>
      </c>
      <c r="N29" s="39" t="n">
        <f aca="false">IF($J29=1,ROUND($D29*100,0),0)</f>
        <v>0</v>
      </c>
      <c r="O29" s="40" t="str">
        <f aca="false">IF($J29&lt;&gt;1,"",IF(AND((WeekMon+WEEKDAY($K29,2)-1)&gt;=$K29,MOD((WeekMon+WEEKDAY($K29,2)-1)-$K29,$L29)=0,(WeekMon+WEEKDAY($K29,2)-1)&lt;=$M29),(WeekMon+WEEKDAY($K29,2)-1),""))</f>
        <v/>
      </c>
      <c r="P29" s="39" t="str">
        <f aca="false">IF($O29="","",($O29-WeekMon)*1000+ROW()-11)</f>
        <v/>
      </c>
    </row>
    <row r="30" customFormat="false" ht="15" hidden="false" customHeight="false" outlineLevel="0" collapsed="false">
      <c r="A30" s="33"/>
      <c r="B30" s="34"/>
      <c r="C30" s="33"/>
      <c r="D30" s="35"/>
      <c r="E30" s="34"/>
      <c r="F30" s="36" t="str">
        <f aca="false">IF(IF(ISNUMBER($B30),AND($B30=INT($B30),$B30&gt;=DATE(2000,1,1),$B30&lt;=DATE(2099,12,31)),FALSE()),CHOOSE(WEEKDAY($B30,2),"Monday","Tuesday","Wednesday","Thursday","Friday","Saturday","Sunday"),"")</f>
        <v/>
      </c>
      <c r="G30" s="36" t="str">
        <f aca="false">IF($J30&lt;&gt;1,"",MAX(0,INT((MIN(WinStart+83,$M30)-MAX($K30,$K30+ROUNDUP((WinStart-$K30)/$L30,0)*$L30))/$L30)+1))</f>
        <v/>
      </c>
      <c r="H30" s="37" t="str">
        <f aca="false">IF(AND($A30="",$B30="",$C30="",$D30="",$E30=""),"",IF($I30="","OK","Check details"))</f>
        <v/>
      </c>
      <c r="I30" s="38" t="str">
        <f aca="false">IF(AND($A30="",$B30="",$C30="",$D30="",$E30=""),"",TRIM(IF(TRIM($A30&amp;"")="","Label is missing. ","")&amp;IF($B30="","First visit is missing. ",IF(NOT(ISNUMBER($B30)),"First visit isn't a date (it's text). ",IF($B30&lt;&gt;INT($B30),"First visit has a time; enter a date only. ",IF(OR($B30&lt;DATE(2000,1,1),$B30&gt;DATE(2099,12,31)),"First visit must be from 2000 to 2099. ",""))))&amp;IF($C30="","Repeat every is missing. ",IF(ISNA(MATCH($C30&amp;"",{"Weekly","Every 2 weeks","Every 3 weeks","Every 4 weeks"},0)),"Repeat every must be Weekly or Every 2, 3 or 4 weeks. ",""))&amp;IF($D30="","Visit length is missing. ",IF(NOT(ISNUMBER($D30)),"Visit length must be a number of hours. ",IF($D30&lt;0,"Visit length can't be negative. ",IF($D30=0,"Visit length must be more than 0. ",IF(ABS($D30*100-ROUND($D30*100,0))&gt;0.000001,"Visit length: use up to 2 decimals. ",IF($D30&gt;24,"Visit length: 24 hours or less. ",""))))))&amp;IF($E30="","",IF(NOT(ISNUMBER($E30)),"Last visit isn't a date (it's text). ",IF($E30&lt;&gt;INT($E30),"Last visit has a time; enter a date only. ",IF(OR($E30&lt;DATE(2000,1,1),$E30&gt;DATE(2099,12,31)),"Last visit must be from 2000 to 2099. ",IF(AND(IF(ISNUMBER($B30),AND($B30=INT($B30),$B30&gt;=DATE(2000,1,1),$B30&lt;=DATE(2099,12,31)),FALSE()),$E30&lt;$B30),"Last visit is before the first visit. ","")))))))</f>
        <v/>
      </c>
      <c r="J30" s="39" t="n">
        <f aca="false">IF($H30="OK",1,0)</f>
        <v>0</v>
      </c>
      <c r="K30" s="40" t="n">
        <f aca="false">IF($J30=1,$B30,0)</f>
        <v>0</v>
      </c>
      <c r="L30" s="39" t="n">
        <f aca="false">IF($J30=1,7*MATCH($C30&amp;"",{"Weekly","Every 2 weeks","Every 3 weeks","Every 4 weeks"},0),7)</f>
        <v>7</v>
      </c>
      <c r="M30" s="40" t="n">
        <f aca="false">IF($J30=1,IF($E30="",2958465,$E30),0)</f>
        <v>0</v>
      </c>
      <c r="N30" s="39" t="n">
        <f aca="false">IF($J30=1,ROUND($D30*100,0),0)</f>
        <v>0</v>
      </c>
      <c r="O30" s="40" t="str">
        <f aca="false">IF($J30&lt;&gt;1,"",IF(AND((WeekMon+WEEKDAY($K30,2)-1)&gt;=$K30,MOD((WeekMon+WEEKDAY($K30,2)-1)-$K30,$L30)=0,(WeekMon+WEEKDAY($K30,2)-1)&lt;=$M30),(WeekMon+WEEKDAY($K30,2)-1),""))</f>
        <v/>
      </c>
      <c r="P30" s="39" t="str">
        <f aca="false">IF($O30="","",($O30-WeekMon)*1000+ROW()-11)</f>
        <v/>
      </c>
    </row>
    <row r="31" customFormat="false" ht="15" hidden="false" customHeight="false" outlineLevel="0" collapsed="false">
      <c r="A31" s="33"/>
      <c r="B31" s="34"/>
      <c r="C31" s="33"/>
      <c r="D31" s="35"/>
      <c r="E31" s="34"/>
      <c r="F31" s="36" t="str">
        <f aca="false">IF(IF(ISNUMBER($B31),AND($B31=INT($B31),$B31&gt;=DATE(2000,1,1),$B31&lt;=DATE(2099,12,31)),FALSE()),CHOOSE(WEEKDAY($B31,2),"Monday","Tuesday","Wednesday","Thursday","Friday","Saturday","Sunday"),"")</f>
        <v/>
      </c>
      <c r="G31" s="36" t="str">
        <f aca="false">IF($J31&lt;&gt;1,"",MAX(0,INT((MIN(WinStart+83,$M31)-MAX($K31,$K31+ROUNDUP((WinStart-$K31)/$L31,0)*$L31))/$L31)+1))</f>
        <v/>
      </c>
      <c r="H31" s="37" t="str">
        <f aca="false">IF(AND($A31="",$B31="",$C31="",$D31="",$E31=""),"",IF($I31="","OK","Check details"))</f>
        <v/>
      </c>
      <c r="I31" s="38" t="str">
        <f aca="false">IF(AND($A31="",$B31="",$C31="",$D31="",$E31=""),"",TRIM(IF(TRIM($A31&amp;"")="","Label is missing. ","")&amp;IF($B31="","First visit is missing. ",IF(NOT(ISNUMBER($B31)),"First visit isn't a date (it's text). ",IF($B31&lt;&gt;INT($B31),"First visit has a time; enter a date only. ",IF(OR($B31&lt;DATE(2000,1,1),$B31&gt;DATE(2099,12,31)),"First visit must be from 2000 to 2099. ",""))))&amp;IF($C31="","Repeat every is missing. ",IF(ISNA(MATCH($C31&amp;"",{"Weekly","Every 2 weeks","Every 3 weeks","Every 4 weeks"},0)),"Repeat every must be Weekly or Every 2, 3 or 4 weeks. ",""))&amp;IF($D31="","Visit length is missing. ",IF(NOT(ISNUMBER($D31)),"Visit length must be a number of hours. ",IF($D31&lt;0,"Visit length can't be negative. ",IF($D31=0,"Visit length must be more than 0. ",IF(ABS($D31*100-ROUND($D31*100,0))&gt;0.000001,"Visit length: use up to 2 decimals. ",IF($D31&gt;24,"Visit length: 24 hours or less. ",""))))))&amp;IF($E31="","",IF(NOT(ISNUMBER($E31)),"Last visit isn't a date (it's text). ",IF($E31&lt;&gt;INT($E31),"Last visit has a time; enter a date only. ",IF(OR($E31&lt;DATE(2000,1,1),$E31&gt;DATE(2099,12,31)),"Last visit must be from 2000 to 2099. ",IF(AND(IF(ISNUMBER($B31),AND($B31=INT($B31),$B31&gt;=DATE(2000,1,1),$B31&lt;=DATE(2099,12,31)),FALSE()),$E31&lt;$B31),"Last visit is before the first visit. ","")))))))</f>
        <v/>
      </c>
      <c r="J31" s="39" t="n">
        <f aca="false">IF($H31="OK",1,0)</f>
        <v>0</v>
      </c>
      <c r="K31" s="40" t="n">
        <f aca="false">IF($J31=1,$B31,0)</f>
        <v>0</v>
      </c>
      <c r="L31" s="39" t="n">
        <f aca="false">IF($J31=1,7*MATCH($C31&amp;"",{"Weekly","Every 2 weeks","Every 3 weeks","Every 4 weeks"},0),7)</f>
        <v>7</v>
      </c>
      <c r="M31" s="40" t="n">
        <f aca="false">IF($J31=1,IF($E31="",2958465,$E31),0)</f>
        <v>0</v>
      </c>
      <c r="N31" s="39" t="n">
        <f aca="false">IF($J31=1,ROUND($D31*100,0),0)</f>
        <v>0</v>
      </c>
      <c r="O31" s="40" t="str">
        <f aca="false">IF($J31&lt;&gt;1,"",IF(AND((WeekMon+WEEKDAY($K31,2)-1)&gt;=$K31,MOD((WeekMon+WEEKDAY($K31,2)-1)-$K31,$L31)=0,(WeekMon+WEEKDAY($K31,2)-1)&lt;=$M31),(WeekMon+WEEKDAY($K31,2)-1),""))</f>
        <v/>
      </c>
      <c r="P31" s="39" t="str">
        <f aca="false">IF($O31="","",($O31-WeekMon)*1000+ROW()-11)</f>
        <v/>
      </c>
    </row>
    <row r="32" customFormat="false" ht="15" hidden="false" customHeight="false" outlineLevel="0" collapsed="false">
      <c r="A32" s="33"/>
      <c r="B32" s="34"/>
      <c r="C32" s="33"/>
      <c r="D32" s="35"/>
      <c r="E32" s="34"/>
      <c r="F32" s="36" t="str">
        <f aca="false">IF(IF(ISNUMBER($B32),AND($B32=INT($B32),$B32&gt;=DATE(2000,1,1),$B32&lt;=DATE(2099,12,31)),FALSE()),CHOOSE(WEEKDAY($B32,2),"Monday","Tuesday","Wednesday","Thursday","Friday","Saturday","Sunday"),"")</f>
        <v/>
      </c>
      <c r="G32" s="36" t="str">
        <f aca="false">IF($J32&lt;&gt;1,"",MAX(0,INT((MIN(WinStart+83,$M32)-MAX($K32,$K32+ROUNDUP((WinStart-$K32)/$L32,0)*$L32))/$L32)+1))</f>
        <v/>
      </c>
      <c r="H32" s="37" t="str">
        <f aca="false">IF(AND($A32="",$B32="",$C32="",$D32="",$E32=""),"",IF($I32="","OK","Check details"))</f>
        <v/>
      </c>
      <c r="I32" s="38" t="str">
        <f aca="false">IF(AND($A32="",$B32="",$C32="",$D32="",$E32=""),"",TRIM(IF(TRIM($A32&amp;"")="","Label is missing. ","")&amp;IF($B32="","First visit is missing. ",IF(NOT(ISNUMBER($B32)),"First visit isn't a date (it's text). ",IF($B32&lt;&gt;INT($B32),"First visit has a time; enter a date only. ",IF(OR($B32&lt;DATE(2000,1,1),$B32&gt;DATE(2099,12,31)),"First visit must be from 2000 to 2099. ",""))))&amp;IF($C32="","Repeat every is missing. ",IF(ISNA(MATCH($C32&amp;"",{"Weekly","Every 2 weeks","Every 3 weeks","Every 4 weeks"},0)),"Repeat every must be Weekly or Every 2, 3 or 4 weeks. ",""))&amp;IF($D32="","Visit length is missing. ",IF(NOT(ISNUMBER($D32)),"Visit length must be a number of hours. ",IF($D32&lt;0,"Visit length can't be negative. ",IF($D32=0,"Visit length must be more than 0. ",IF(ABS($D32*100-ROUND($D32*100,0))&gt;0.000001,"Visit length: use up to 2 decimals. ",IF($D32&gt;24,"Visit length: 24 hours or less. ",""))))))&amp;IF($E32="","",IF(NOT(ISNUMBER($E32)),"Last visit isn't a date (it's text). ",IF($E32&lt;&gt;INT($E32),"Last visit has a time; enter a date only. ",IF(OR($E32&lt;DATE(2000,1,1),$E32&gt;DATE(2099,12,31)),"Last visit must be from 2000 to 2099. ",IF(AND(IF(ISNUMBER($B32),AND($B32=INT($B32),$B32&gt;=DATE(2000,1,1),$B32&lt;=DATE(2099,12,31)),FALSE()),$E32&lt;$B32),"Last visit is before the first visit. ","")))))))</f>
        <v/>
      </c>
      <c r="J32" s="39" t="n">
        <f aca="false">IF($H32="OK",1,0)</f>
        <v>0</v>
      </c>
      <c r="K32" s="40" t="n">
        <f aca="false">IF($J32=1,$B32,0)</f>
        <v>0</v>
      </c>
      <c r="L32" s="39" t="n">
        <f aca="false">IF($J32=1,7*MATCH($C32&amp;"",{"Weekly","Every 2 weeks","Every 3 weeks","Every 4 weeks"},0),7)</f>
        <v>7</v>
      </c>
      <c r="M32" s="40" t="n">
        <f aca="false">IF($J32=1,IF($E32="",2958465,$E32),0)</f>
        <v>0</v>
      </c>
      <c r="N32" s="39" t="n">
        <f aca="false">IF($J32=1,ROUND($D32*100,0),0)</f>
        <v>0</v>
      </c>
      <c r="O32" s="40" t="str">
        <f aca="false">IF($J32&lt;&gt;1,"",IF(AND((WeekMon+WEEKDAY($K32,2)-1)&gt;=$K32,MOD((WeekMon+WEEKDAY($K32,2)-1)-$K32,$L32)=0,(WeekMon+WEEKDAY($K32,2)-1)&lt;=$M32),(WeekMon+WEEKDAY($K32,2)-1),""))</f>
        <v/>
      </c>
      <c r="P32" s="39" t="str">
        <f aca="false">IF($O32="","",($O32-WeekMon)*1000+ROW()-11)</f>
        <v/>
      </c>
    </row>
    <row r="33" customFormat="false" ht="15" hidden="false" customHeight="false" outlineLevel="0" collapsed="false">
      <c r="A33" s="33"/>
      <c r="B33" s="34"/>
      <c r="C33" s="33"/>
      <c r="D33" s="35"/>
      <c r="E33" s="34"/>
      <c r="F33" s="36" t="str">
        <f aca="false">IF(IF(ISNUMBER($B33),AND($B33=INT($B33),$B33&gt;=DATE(2000,1,1),$B33&lt;=DATE(2099,12,31)),FALSE()),CHOOSE(WEEKDAY($B33,2),"Monday","Tuesday","Wednesday","Thursday","Friday","Saturday","Sunday"),"")</f>
        <v/>
      </c>
      <c r="G33" s="36" t="str">
        <f aca="false">IF($J33&lt;&gt;1,"",MAX(0,INT((MIN(WinStart+83,$M33)-MAX($K33,$K33+ROUNDUP((WinStart-$K33)/$L33,0)*$L33))/$L33)+1))</f>
        <v/>
      </c>
      <c r="H33" s="37" t="str">
        <f aca="false">IF(AND($A33="",$B33="",$C33="",$D33="",$E33=""),"",IF($I33="","OK","Check details"))</f>
        <v/>
      </c>
      <c r="I33" s="38" t="str">
        <f aca="false">IF(AND($A33="",$B33="",$C33="",$D33="",$E33=""),"",TRIM(IF(TRIM($A33&amp;"")="","Label is missing. ","")&amp;IF($B33="","First visit is missing. ",IF(NOT(ISNUMBER($B33)),"First visit isn't a date (it's text). ",IF($B33&lt;&gt;INT($B33),"First visit has a time; enter a date only. ",IF(OR($B33&lt;DATE(2000,1,1),$B33&gt;DATE(2099,12,31)),"First visit must be from 2000 to 2099. ",""))))&amp;IF($C33="","Repeat every is missing. ",IF(ISNA(MATCH($C33&amp;"",{"Weekly","Every 2 weeks","Every 3 weeks","Every 4 weeks"},0)),"Repeat every must be Weekly or Every 2, 3 or 4 weeks. ",""))&amp;IF($D33="","Visit length is missing. ",IF(NOT(ISNUMBER($D33)),"Visit length must be a number of hours. ",IF($D33&lt;0,"Visit length can't be negative. ",IF($D33=0,"Visit length must be more than 0. ",IF(ABS($D33*100-ROUND($D33*100,0))&gt;0.000001,"Visit length: use up to 2 decimals. ",IF($D33&gt;24,"Visit length: 24 hours or less. ",""))))))&amp;IF($E33="","",IF(NOT(ISNUMBER($E33)),"Last visit isn't a date (it's text). ",IF($E33&lt;&gt;INT($E33),"Last visit has a time; enter a date only. ",IF(OR($E33&lt;DATE(2000,1,1),$E33&gt;DATE(2099,12,31)),"Last visit must be from 2000 to 2099. ",IF(AND(IF(ISNUMBER($B33),AND($B33=INT($B33),$B33&gt;=DATE(2000,1,1),$B33&lt;=DATE(2099,12,31)),FALSE()),$E33&lt;$B33),"Last visit is before the first visit. ","")))))))</f>
        <v/>
      </c>
      <c r="J33" s="39" t="n">
        <f aca="false">IF($H33="OK",1,0)</f>
        <v>0</v>
      </c>
      <c r="K33" s="40" t="n">
        <f aca="false">IF($J33=1,$B33,0)</f>
        <v>0</v>
      </c>
      <c r="L33" s="39" t="n">
        <f aca="false">IF($J33=1,7*MATCH($C33&amp;"",{"Weekly","Every 2 weeks","Every 3 weeks","Every 4 weeks"},0),7)</f>
        <v>7</v>
      </c>
      <c r="M33" s="40" t="n">
        <f aca="false">IF($J33=1,IF($E33="",2958465,$E33),0)</f>
        <v>0</v>
      </c>
      <c r="N33" s="39" t="n">
        <f aca="false">IF($J33=1,ROUND($D33*100,0),0)</f>
        <v>0</v>
      </c>
      <c r="O33" s="40" t="str">
        <f aca="false">IF($J33&lt;&gt;1,"",IF(AND((WeekMon+WEEKDAY($K33,2)-1)&gt;=$K33,MOD((WeekMon+WEEKDAY($K33,2)-1)-$K33,$L33)=0,(WeekMon+WEEKDAY($K33,2)-1)&lt;=$M33),(WeekMon+WEEKDAY($K33,2)-1),""))</f>
        <v/>
      </c>
      <c r="P33" s="39" t="str">
        <f aca="false">IF($O33="","",($O33-WeekMon)*1000+ROW()-11)</f>
        <v/>
      </c>
    </row>
    <row r="34" customFormat="false" ht="15" hidden="false" customHeight="false" outlineLevel="0" collapsed="false">
      <c r="A34" s="33"/>
      <c r="B34" s="34"/>
      <c r="C34" s="33"/>
      <c r="D34" s="35"/>
      <c r="E34" s="34"/>
      <c r="F34" s="36" t="str">
        <f aca="false">IF(IF(ISNUMBER($B34),AND($B34=INT($B34),$B34&gt;=DATE(2000,1,1),$B34&lt;=DATE(2099,12,31)),FALSE()),CHOOSE(WEEKDAY($B34,2),"Monday","Tuesday","Wednesday","Thursday","Friday","Saturday","Sunday"),"")</f>
        <v/>
      </c>
      <c r="G34" s="36" t="str">
        <f aca="false">IF($J34&lt;&gt;1,"",MAX(0,INT((MIN(WinStart+83,$M34)-MAX($K34,$K34+ROUNDUP((WinStart-$K34)/$L34,0)*$L34))/$L34)+1))</f>
        <v/>
      </c>
      <c r="H34" s="37" t="str">
        <f aca="false">IF(AND($A34="",$B34="",$C34="",$D34="",$E34=""),"",IF($I34="","OK","Check details"))</f>
        <v/>
      </c>
      <c r="I34" s="38" t="str">
        <f aca="false">IF(AND($A34="",$B34="",$C34="",$D34="",$E34=""),"",TRIM(IF(TRIM($A34&amp;"")="","Label is missing. ","")&amp;IF($B34="","First visit is missing. ",IF(NOT(ISNUMBER($B34)),"First visit isn't a date (it's text). ",IF($B34&lt;&gt;INT($B34),"First visit has a time; enter a date only. ",IF(OR($B34&lt;DATE(2000,1,1),$B34&gt;DATE(2099,12,31)),"First visit must be from 2000 to 2099. ",""))))&amp;IF($C34="","Repeat every is missing. ",IF(ISNA(MATCH($C34&amp;"",{"Weekly","Every 2 weeks","Every 3 weeks","Every 4 weeks"},0)),"Repeat every must be Weekly or Every 2, 3 or 4 weeks. ",""))&amp;IF($D34="","Visit length is missing. ",IF(NOT(ISNUMBER($D34)),"Visit length must be a number of hours. ",IF($D34&lt;0,"Visit length can't be negative. ",IF($D34=0,"Visit length must be more than 0. ",IF(ABS($D34*100-ROUND($D34*100,0))&gt;0.000001,"Visit length: use up to 2 decimals. ",IF($D34&gt;24,"Visit length: 24 hours or less. ",""))))))&amp;IF($E34="","",IF(NOT(ISNUMBER($E34)),"Last visit isn't a date (it's text). ",IF($E34&lt;&gt;INT($E34),"Last visit has a time; enter a date only. ",IF(OR($E34&lt;DATE(2000,1,1),$E34&gt;DATE(2099,12,31)),"Last visit must be from 2000 to 2099. ",IF(AND(IF(ISNUMBER($B34),AND($B34=INT($B34),$B34&gt;=DATE(2000,1,1),$B34&lt;=DATE(2099,12,31)),FALSE()),$E34&lt;$B34),"Last visit is before the first visit. ","")))))))</f>
        <v/>
      </c>
      <c r="J34" s="39" t="n">
        <f aca="false">IF($H34="OK",1,0)</f>
        <v>0</v>
      </c>
      <c r="K34" s="40" t="n">
        <f aca="false">IF($J34=1,$B34,0)</f>
        <v>0</v>
      </c>
      <c r="L34" s="39" t="n">
        <f aca="false">IF($J34=1,7*MATCH($C34&amp;"",{"Weekly","Every 2 weeks","Every 3 weeks","Every 4 weeks"},0),7)</f>
        <v>7</v>
      </c>
      <c r="M34" s="40" t="n">
        <f aca="false">IF($J34=1,IF($E34="",2958465,$E34),0)</f>
        <v>0</v>
      </c>
      <c r="N34" s="39" t="n">
        <f aca="false">IF($J34=1,ROUND($D34*100,0),0)</f>
        <v>0</v>
      </c>
      <c r="O34" s="40" t="str">
        <f aca="false">IF($J34&lt;&gt;1,"",IF(AND((WeekMon+WEEKDAY($K34,2)-1)&gt;=$K34,MOD((WeekMon+WEEKDAY($K34,2)-1)-$K34,$L34)=0,(WeekMon+WEEKDAY($K34,2)-1)&lt;=$M34),(WeekMon+WEEKDAY($K34,2)-1),""))</f>
        <v/>
      </c>
      <c r="P34" s="39" t="str">
        <f aca="false">IF($O34="","",($O34-WeekMon)*1000+ROW()-11)</f>
        <v/>
      </c>
    </row>
    <row r="35" customFormat="false" ht="15" hidden="false" customHeight="false" outlineLevel="0" collapsed="false">
      <c r="A35" s="33"/>
      <c r="B35" s="34"/>
      <c r="C35" s="33"/>
      <c r="D35" s="35"/>
      <c r="E35" s="34"/>
      <c r="F35" s="36" t="str">
        <f aca="false">IF(IF(ISNUMBER($B35),AND($B35=INT($B35),$B35&gt;=DATE(2000,1,1),$B35&lt;=DATE(2099,12,31)),FALSE()),CHOOSE(WEEKDAY($B35,2),"Monday","Tuesday","Wednesday","Thursday","Friday","Saturday","Sunday"),"")</f>
        <v/>
      </c>
      <c r="G35" s="36" t="str">
        <f aca="false">IF($J35&lt;&gt;1,"",MAX(0,INT((MIN(WinStart+83,$M35)-MAX($K35,$K35+ROUNDUP((WinStart-$K35)/$L35,0)*$L35))/$L35)+1))</f>
        <v/>
      </c>
      <c r="H35" s="37" t="str">
        <f aca="false">IF(AND($A35="",$B35="",$C35="",$D35="",$E35=""),"",IF($I35="","OK","Check details"))</f>
        <v/>
      </c>
      <c r="I35" s="38" t="str">
        <f aca="false">IF(AND($A35="",$B35="",$C35="",$D35="",$E35=""),"",TRIM(IF(TRIM($A35&amp;"")="","Label is missing. ","")&amp;IF($B35="","First visit is missing. ",IF(NOT(ISNUMBER($B35)),"First visit isn't a date (it's text). ",IF($B35&lt;&gt;INT($B35),"First visit has a time; enter a date only. ",IF(OR($B35&lt;DATE(2000,1,1),$B35&gt;DATE(2099,12,31)),"First visit must be from 2000 to 2099. ",""))))&amp;IF($C35="","Repeat every is missing. ",IF(ISNA(MATCH($C35&amp;"",{"Weekly","Every 2 weeks","Every 3 weeks","Every 4 weeks"},0)),"Repeat every must be Weekly or Every 2, 3 or 4 weeks. ",""))&amp;IF($D35="","Visit length is missing. ",IF(NOT(ISNUMBER($D35)),"Visit length must be a number of hours. ",IF($D35&lt;0,"Visit length can't be negative. ",IF($D35=0,"Visit length must be more than 0. ",IF(ABS($D35*100-ROUND($D35*100,0))&gt;0.000001,"Visit length: use up to 2 decimals. ",IF($D35&gt;24,"Visit length: 24 hours or less. ",""))))))&amp;IF($E35="","",IF(NOT(ISNUMBER($E35)),"Last visit isn't a date (it's text). ",IF($E35&lt;&gt;INT($E35),"Last visit has a time; enter a date only. ",IF(OR($E35&lt;DATE(2000,1,1),$E35&gt;DATE(2099,12,31)),"Last visit must be from 2000 to 2099. ",IF(AND(IF(ISNUMBER($B35),AND($B35=INT($B35),$B35&gt;=DATE(2000,1,1),$B35&lt;=DATE(2099,12,31)),FALSE()),$E35&lt;$B35),"Last visit is before the first visit. ","")))))))</f>
        <v/>
      </c>
      <c r="J35" s="39" t="n">
        <f aca="false">IF($H35="OK",1,0)</f>
        <v>0</v>
      </c>
      <c r="K35" s="40" t="n">
        <f aca="false">IF($J35=1,$B35,0)</f>
        <v>0</v>
      </c>
      <c r="L35" s="39" t="n">
        <f aca="false">IF($J35=1,7*MATCH($C35&amp;"",{"Weekly","Every 2 weeks","Every 3 weeks","Every 4 weeks"},0),7)</f>
        <v>7</v>
      </c>
      <c r="M35" s="40" t="n">
        <f aca="false">IF($J35=1,IF($E35="",2958465,$E35),0)</f>
        <v>0</v>
      </c>
      <c r="N35" s="39" t="n">
        <f aca="false">IF($J35=1,ROUND($D35*100,0),0)</f>
        <v>0</v>
      </c>
      <c r="O35" s="40" t="str">
        <f aca="false">IF($J35&lt;&gt;1,"",IF(AND((WeekMon+WEEKDAY($K35,2)-1)&gt;=$K35,MOD((WeekMon+WEEKDAY($K35,2)-1)-$K35,$L35)=0,(WeekMon+WEEKDAY($K35,2)-1)&lt;=$M35),(WeekMon+WEEKDAY($K35,2)-1),""))</f>
        <v/>
      </c>
      <c r="P35" s="39" t="str">
        <f aca="false">IF($O35="","",($O35-WeekMon)*1000+ROW()-11)</f>
        <v/>
      </c>
    </row>
    <row r="36" customFormat="false" ht="15" hidden="false" customHeight="false" outlineLevel="0" collapsed="false">
      <c r="A36" s="33"/>
      <c r="B36" s="34"/>
      <c r="C36" s="33"/>
      <c r="D36" s="35"/>
      <c r="E36" s="34"/>
      <c r="F36" s="36" t="str">
        <f aca="false">IF(IF(ISNUMBER($B36),AND($B36=INT($B36),$B36&gt;=DATE(2000,1,1),$B36&lt;=DATE(2099,12,31)),FALSE()),CHOOSE(WEEKDAY($B36,2),"Monday","Tuesday","Wednesday","Thursday","Friday","Saturday","Sunday"),"")</f>
        <v/>
      </c>
      <c r="G36" s="36" t="str">
        <f aca="false">IF($J36&lt;&gt;1,"",MAX(0,INT((MIN(WinStart+83,$M36)-MAX($K36,$K36+ROUNDUP((WinStart-$K36)/$L36,0)*$L36))/$L36)+1))</f>
        <v/>
      </c>
      <c r="H36" s="37" t="str">
        <f aca="false">IF(AND($A36="",$B36="",$C36="",$D36="",$E36=""),"",IF($I36="","OK","Check details"))</f>
        <v/>
      </c>
      <c r="I36" s="38" t="str">
        <f aca="false">IF(AND($A36="",$B36="",$C36="",$D36="",$E36=""),"",TRIM(IF(TRIM($A36&amp;"")="","Label is missing. ","")&amp;IF($B36="","First visit is missing. ",IF(NOT(ISNUMBER($B36)),"First visit isn't a date (it's text). ",IF($B36&lt;&gt;INT($B36),"First visit has a time; enter a date only. ",IF(OR($B36&lt;DATE(2000,1,1),$B36&gt;DATE(2099,12,31)),"First visit must be from 2000 to 2099. ",""))))&amp;IF($C36="","Repeat every is missing. ",IF(ISNA(MATCH($C36&amp;"",{"Weekly","Every 2 weeks","Every 3 weeks","Every 4 weeks"},0)),"Repeat every must be Weekly or Every 2, 3 or 4 weeks. ",""))&amp;IF($D36="","Visit length is missing. ",IF(NOT(ISNUMBER($D36)),"Visit length must be a number of hours. ",IF($D36&lt;0,"Visit length can't be negative. ",IF($D36=0,"Visit length must be more than 0. ",IF(ABS($D36*100-ROUND($D36*100,0))&gt;0.000001,"Visit length: use up to 2 decimals. ",IF($D36&gt;24,"Visit length: 24 hours or less. ",""))))))&amp;IF($E36="","",IF(NOT(ISNUMBER($E36)),"Last visit isn't a date (it's text). ",IF($E36&lt;&gt;INT($E36),"Last visit has a time; enter a date only. ",IF(OR($E36&lt;DATE(2000,1,1),$E36&gt;DATE(2099,12,31)),"Last visit must be from 2000 to 2099. ",IF(AND(IF(ISNUMBER($B36),AND($B36=INT($B36),$B36&gt;=DATE(2000,1,1),$B36&lt;=DATE(2099,12,31)),FALSE()),$E36&lt;$B36),"Last visit is before the first visit. ","")))))))</f>
        <v/>
      </c>
      <c r="J36" s="39" t="n">
        <f aca="false">IF($H36="OK",1,0)</f>
        <v>0</v>
      </c>
      <c r="K36" s="40" t="n">
        <f aca="false">IF($J36=1,$B36,0)</f>
        <v>0</v>
      </c>
      <c r="L36" s="39" t="n">
        <f aca="false">IF($J36=1,7*MATCH($C36&amp;"",{"Weekly","Every 2 weeks","Every 3 weeks","Every 4 weeks"},0),7)</f>
        <v>7</v>
      </c>
      <c r="M36" s="40" t="n">
        <f aca="false">IF($J36=1,IF($E36="",2958465,$E36),0)</f>
        <v>0</v>
      </c>
      <c r="N36" s="39" t="n">
        <f aca="false">IF($J36=1,ROUND($D36*100,0),0)</f>
        <v>0</v>
      </c>
      <c r="O36" s="40" t="str">
        <f aca="false">IF($J36&lt;&gt;1,"",IF(AND((WeekMon+WEEKDAY($K36,2)-1)&gt;=$K36,MOD((WeekMon+WEEKDAY($K36,2)-1)-$K36,$L36)=0,(WeekMon+WEEKDAY($K36,2)-1)&lt;=$M36),(WeekMon+WEEKDAY($K36,2)-1),""))</f>
        <v/>
      </c>
      <c r="P36" s="39" t="str">
        <f aca="false">IF($O36="","",($O36-WeekMon)*1000+ROW()-11)</f>
        <v/>
      </c>
    </row>
    <row r="37" customFormat="false" ht="15" hidden="false" customHeight="false" outlineLevel="0" collapsed="false">
      <c r="A37" s="33"/>
      <c r="B37" s="34"/>
      <c r="C37" s="33"/>
      <c r="D37" s="35"/>
      <c r="E37" s="34"/>
      <c r="F37" s="36" t="str">
        <f aca="false">IF(IF(ISNUMBER($B37),AND($B37=INT($B37),$B37&gt;=DATE(2000,1,1),$B37&lt;=DATE(2099,12,31)),FALSE()),CHOOSE(WEEKDAY($B37,2),"Monday","Tuesday","Wednesday","Thursday","Friday","Saturday","Sunday"),"")</f>
        <v/>
      </c>
      <c r="G37" s="36" t="str">
        <f aca="false">IF($J37&lt;&gt;1,"",MAX(0,INT((MIN(WinStart+83,$M37)-MAX($K37,$K37+ROUNDUP((WinStart-$K37)/$L37,0)*$L37))/$L37)+1))</f>
        <v/>
      </c>
      <c r="H37" s="37" t="str">
        <f aca="false">IF(AND($A37="",$B37="",$C37="",$D37="",$E37=""),"",IF($I37="","OK","Check details"))</f>
        <v/>
      </c>
      <c r="I37" s="38" t="str">
        <f aca="false">IF(AND($A37="",$B37="",$C37="",$D37="",$E37=""),"",TRIM(IF(TRIM($A37&amp;"")="","Label is missing. ","")&amp;IF($B37="","First visit is missing. ",IF(NOT(ISNUMBER($B37)),"First visit isn't a date (it's text). ",IF($B37&lt;&gt;INT($B37),"First visit has a time; enter a date only. ",IF(OR($B37&lt;DATE(2000,1,1),$B37&gt;DATE(2099,12,31)),"First visit must be from 2000 to 2099. ",""))))&amp;IF($C37="","Repeat every is missing. ",IF(ISNA(MATCH($C37&amp;"",{"Weekly","Every 2 weeks","Every 3 weeks","Every 4 weeks"},0)),"Repeat every must be Weekly or Every 2, 3 or 4 weeks. ",""))&amp;IF($D37="","Visit length is missing. ",IF(NOT(ISNUMBER($D37)),"Visit length must be a number of hours. ",IF($D37&lt;0,"Visit length can't be negative. ",IF($D37=0,"Visit length must be more than 0. ",IF(ABS($D37*100-ROUND($D37*100,0))&gt;0.000001,"Visit length: use up to 2 decimals. ",IF($D37&gt;24,"Visit length: 24 hours or less. ",""))))))&amp;IF($E37="","",IF(NOT(ISNUMBER($E37)),"Last visit isn't a date (it's text). ",IF($E37&lt;&gt;INT($E37),"Last visit has a time; enter a date only. ",IF(OR($E37&lt;DATE(2000,1,1),$E37&gt;DATE(2099,12,31)),"Last visit must be from 2000 to 2099. ",IF(AND(IF(ISNUMBER($B37),AND($B37=INT($B37),$B37&gt;=DATE(2000,1,1),$B37&lt;=DATE(2099,12,31)),FALSE()),$E37&lt;$B37),"Last visit is before the first visit. ","")))))))</f>
        <v/>
      </c>
      <c r="J37" s="39" t="n">
        <f aca="false">IF($H37="OK",1,0)</f>
        <v>0</v>
      </c>
      <c r="K37" s="40" t="n">
        <f aca="false">IF($J37=1,$B37,0)</f>
        <v>0</v>
      </c>
      <c r="L37" s="39" t="n">
        <f aca="false">IF($J37=1,7*MATCH($C37&amp;"",{"Weekly","Every 2 weeks","Every 3 weeks","Every 4 weeks"},0),7)</f>
        <v>7</v>
      </c>
      <c r="M37" s="40" t="n">
        <f aca="false">IF($J37=1,IF($E37="",2958465,$E37),0)</f>
        <v>0</v>
      </c>
      <c r="N37" s="39" t="n">
        <f aca="false">IF($J37=1,ROUND($D37*100,0),0)</f>
        <v>0</v>
      </c>
      <c r="O37" s="40" t="str">
        <f aca="false">IF($J37&lt;&gt;1,"",IF(AND((WeekMon+WEEKDAY($K37,2)-1)&gt;=$K37,MOD((WeekMon+WEEKDAY($K37,2)-1)-$K37,$L37)=0,(WeekMon+WEEKDAY($K37,2)-1)&lt;=$M37),(WeekMon+WEEKDAY($K37,2)-1),""))</f>
        <v/>
      </c>
      <c r="P37" s="39" t="str">
        <f aca="false">IF($O37="","",($O37-WeekMon)*1000+ROW()-11)</f>
        <v/>
      </c>
    </row>
    <row r="38" customFormat="false" ht="15" hidden="false" customHeight="false" outlineLevel="0" collapsed="false">
      <c r="A38" s="33"/>
      <c r="B38" s="34"/>
      <c r="C38" s="33"/>
      <c r="D38" s="35"/>
      <c r="E38" s="34"/>
      <c r="F38" s="36" t="str">
        <f aca="false">IF(IF(ISNUMBER($B38),AND($B38=INT($B38),$B38&gt;=DATE(2000,1,1),$B38&lt;=DATE(2099,12,31)),FALSE()),CHOOSE(WEEKDAY($B38,2),"Monday","Tuesday","Wednesday","Thursday","Friday","Saturday","Sunday"),"")</f>
        <v/>
      </c>
      <c r="G38" s="36" t="str">
        <f aca="false">IF($J38&lt;&gt;1,"",MAX(0,INT((MIN(WinStart+83,$M38)-MAX($K38,$K38+ROUNDUP((WinStart-$K38)/$L38,0)*$L38))/$L38)+1))</f>
        <v/>
      </c>
      <c r="H38" s="37" t="str">
        <f aca="false">IF(AND($A38="",$B38="",$C38="",$D38="",$E38=""),"",IF($I38="","OK","Check details"))</f>
        <v/>
      </c>
      <c r="I38" s="38" t="str">
        <f aca="false">IF(AND($A38="",$B38="",$C38="",$D38="",$E38=""),"",TRIM(IF(TRIM($A38&amp;"")="","Label is missing. ","")&amp;IF($B38="","First visit is missing. ",IF(NOT(ISNUMBER($B38)),"First visit isn't a date (it's text). ",IF($B38&lt;&gt;INT($B38),"First visit has a time; enter a date only. ",IF(OR($B38&lt;DATE(2000,1,1),$B38&gt;DATE(2099,12,31)),"First visit must be from 2000 to 2099. ",""))))&amp;IF($C38="","Repeat every is missing. ",IF(ISNA(MATCH($C38&amp;"",{"Weekly","Every 2 weeks","Every 3 weeks","Every 4 weeks"},0)),"Repeat every must be Weekly or Every 2, 3 or 4 weeks. ",""))&amp;IF($D38="","Visit length is missing. ",IF(NOT(ISNUMBER($D38)),"Visit length must be a number of hours. ",IF($D38&lt;0,"Visit length can't be negative. ",IF($D38=0,"Visit length must be more than 0. ",IF(ABS($D38*100-ROUND($D38*100,0))&gt;0.000001,"Visit length: use up to 2 decimals. ",IF($D38&gt;24,"Visit length: 24 hours or less. ",""))))))&amp;IF($E38="","",IF(NOT(ISNUMBER($E38)),"Last visit isn't a date (it's text). ",IF($E38&lt;&gt;INT($E38),"Last visit has a time; enter a date only. ",IF(OR($E38&lt;DATE(2000,1,1),$E38&gt;DATE(2099,12,31)),"Last visit must be from 2000 to 2099. ",IF(AND(IF(ISNUMBER($B38),AND($B38=INT($B38),$B38&gt;=DATE(2000,1,1),$B38&lt;=DATE(2099,12,31)),FALSE()),$E38&lt;$B38),"Last visit is before the first visit. ","")))))))</f>
        <v/>
      </c>
      <c r="J38" s="39" t="n">
        <f aca="false">IF($H38="OK",1,0)</f>
        <v>0</v>
      </c>
      <c r="K38" s="40" t="n">
        <f aca="false">IF($J38=1,$B38,0)</f>
        <v>0</v>
      </c>
      <c r="L38" s="39" t="n">
        <f aca="false">IF($J38=1,7*MATCH($C38&amp;"",{"Weekly","Every 2 weeks","Every 3 weeks","Every 4 weeks"},0),7)</f>
        <v>7</v>
      </c>
      <c r="M38" s="40" t="n">
        <f aca="false">IF($J38=1,IF($E38="",2958465,$E38),0)</f>
        <v>0</v>
      </c>
      <c r="N38" s="39" t="n">
        <f aca="false">IF($J38=1,ROUND($D38*100,0),0)</f>
        <v>0</v>
      </c>
      <c r="O38" s="40" t="str">
        <f aca="false">IF($J38&lt;&gt;1,"",IF(AND((WeekMon+WEEKDAY($K38,2)-1)&gt;=$K38,MOD((WeekMon+WEEKDAY($K38,2)-1)-$K38,$L38)=0,(WeekMon+WEEKDAY($K38,2)-1)&lt;=$M38),(WeekMon+WEEKDAY($K38,2)-1),""))</f>
        <v/>
      </c>
      <c r="P38" s="39" t="str">
        <f aca="false">IF($O38="","",($O38-WeekMon)*1000+ROW()-11)</f>
        <v/>
      </c>
    </row>
    <row r="39" customFormat="false" ht="15" hidden="false" customHeight="false" outlineLevel="0" collapsed="false">
      <c r="A39" s="33"/>
      <c r="B39" s="34"/>
      <c r="C39" s="33"/>
      <c r="D39" s="35"/>
      <c r="E39" s="34"/>
      <c r="F39" s="36" t="str">
        <f aca="false">IF(IF(ISNUMBER($B39),AND($B39=INT($B39),$B39&gt;=DATE(2000,1,1),$B39&lt;=DATE(2099,12,31)),FALSE()),CHOOSE(WEEKDAY($B39,2),"Monday","Tuesday","Wednesday","Thursday","Friday","Saturday","Sunday"),"")</f>
        <v/>
      </c>
      <c r="G39" s="36" t="str">
        <f aca="false">IF($J39&lt;&gt;1,"",MAX(0,INT((MIN(WinStart+83,$M39)-MAX($K39,$K39+ROUNDUP((WinStart-$K39)/$L39,0)*$L39))/$L39)+1))</f>
        <v/>
      </c>
      <c r="H39" s="37" t="str">
        <f aca="false">IF(AND($A39="",$B39="",$C39="",$D39="",$E39=""),"",IF($I39="","OK","Check details"))</f>
        <v/>
      </c>
      <c r="I39" s="38" t="str">
        <f aca="false">IF(AND($A39="",$B39="",$C39="",$D39="",$E39=""),"",TRIM(IF(TRIM($A39&amp;"")="","Label is missing. ","")&amp;IF($B39="","First visit is missing. ",IF(NOT(ISNUMBER($B39)),"First visit isn't a date (it's text). ",IF($B39&lt;&gt;INT($B39),"First visit has a time; enter a date only. ",IF(OR($B39&lt;DATE(2000,1,1),$B39&gt;DATE(2099,12,31)),"First visit must be from 2000 to 2099. ",""))))&amp;IF($C39="","Repeat every is missing. ",IF(ISNA(MATCH($C39&amp;"",{"Weekly","Every 2 weeks","Every 3 weeks","Every 4 weeks"},0)),"Repeat every must be Weekly or Every 2, 3 or 4 weeks. ",""))&amp;IF($D39="","Visit length is missing. ",IF(NOT(ISNUMBER($D39)),"Visit length must be a number of hours. ",IF($D39&lt;0,"Visit length can't be negative. ",IF($D39=0,"Visit length must be more than 0. ",IF(ABS($D39*100-ROUND($D39*100,0))&gt;0.000001,"Visit length: use up to 2 decimals. ",IF($D39&gt;24,"Visit length: 24 hours or less. ",""))))))&amp;IF($E39="","",IF(NOT(ISNUMBER($E39)),"Last visit isn't a date (it's text). ",IF($E39&lt;&gt;INT($E39),"Last visit has a time; enter a date only. ",IF(OR($E39&lt;DATE(2000,1,1),$E39&gt;DATE(2099,12,31)),"Last visit must be from 2000 to 2099. ",IF(AND(IF(ISNUMBER($B39),AND($B39=INT($B39),$B39&gt;=DATE(2000,1,1),$B39&lt;=DATE(2099,12,31)),FALSE()),$E39&lt;$B39),"Last visit is before the first visit. ","")))))))</f>
        <v/>
      </c>
      <c r="J39" s="39" t="n">
        <f aca="false">IF($H39="OK",1,0)</f>
        <v>0</v>
      </c>
      <c r="K39" s="40" t="n">
        <f aca="false">IF($J39=1,$B39,0)</f>
        <v>0</v>
      </c>
      <c r="L39" s="39" t="n">
        <f aca="false">IF($J39=1,7*MATCH($C39&amp;"",{"Weekly","Every 2 weeks","Every 3 weeks","Every 4 weeks"},0),7)</f>
        <v>7</v>
      </c>
      <c r="M39" s="40" t="n">
        <f aca="false">IF($J39=1,IF($E39="",2958465,$E39),0)</f>
        <v>0</v>
      </c>
      <c r="N39" s="39" t="n">
        <f aca="false">IF($J39=1,ROUND($D39*100,0),0)</f>
        <v>0</v>
      </c>
      <c r="O39" s="40" t="str">
        <f aca="false">IF($J39&lt;&gt;1,"",IF(AND((WeekMon+WEEKDAY($K39,2)-1)&gt;=$K39,MOD((WeekMon+WEEKDAY($K39,2)-1)-$K39,$L39)=0,(WeekMon+WEEKDAY($K39,2)-1)&lt;=$M39),(WeekMon+WEEKDAY($K39,2)-1),""))</f>
        <v/>
      </c>
      <c r="P39" s="39" t="str">
        <f aca="false">IF($O39="","",($O39-WeekMon)*1000+ROW()-11)</f>
        <v/>
      </c>
    </row>
    <row r="40" customFormat="false" ht="15" hidden="false" customHeight="false" outlineLevel="0" collapsed="false">
      <c r="A40" s="33"/>
      <c r="B40" s="34"/>
      <c r="C40" s="33"/>
      <c r="D40" s="35"/>
      <c r="E40" s="34"/>
      <c r="F40" s="36" t="str">
        <f aca="false">IF(IF(ISNUMBER($B40),AND($B40=INT($B40),$B40&gt;=DATE(2000,1,1),$B40&lt;=DATE(2099,12,31)),FALSE()),CHOOSE(WEEKDAY($B40,2),"Monday","Tuesday","Wednesday","Thursday","Friday","Saturday","Sunday"),"")</f>
        <v/>
      </c>
      <c r="G40" s="36" t="str">
        <f aca="false">IF($J40&lt;&gt;1,"",MAX(0,INT((MIN(WinStart+83,$M40)-MAX($K40,$K40+ROUNDUP((WinStart-$K40)/$L40,0)*$L40))/$L40)+1))</f>
        <v/>
      </c>
      <c r="H40" s="37" t="str">
        <f aca="false">IF(AND($A40="",$B40="",$C40="",$D40="",$E40=""),"",IF($I40="","OK","Check details"))</f>
        <v/>
      </c>
      <c r="I40" s="38" t="str">
        <f aca="false">IF(AND($A40="",$B40="",$C40="",$D40="",$E40=""),"",TRIM(IF(TRIM($A40&amp;"")="","Label is missing. ","")&amp;IF($B40="","First visit is missing. ",IF(NOT(ISNUMBER($B40)),"First visit isn't a date (it's text). ",IF($B40&lt;&gt;INT($B40),"First visit has a time; enter a date only. ",IF(OR($B40&lt;DATE(2000,1,1),$B40&gt;DATE(2099,12,31)),"First visit must be from 2000 to 2099. ",""))))&amp;IF($C40="","Repeat every is missing. ",IF(ISNA(MATCH($C40&amp;"",{"Weekly","Every 2 weeks","Every 3 weeks","Every 4 weeks"},0)),"Repeat every must be Weekly or Every 2, 3 or 4 weeks. ",""))&amp;IF($D40="","Visit length is missing. ",IF(NOT(ISNUMBER($D40)),"Visit length must be a number of hours. ",IF($D40&lt;0,"Visit length can't be negative. ",IF($D40=0,"Visit length must be more than 0. ",IF(ABS($D40*100-ROUND($D40*100,0))&gt;0.000001,"Visit length: use up to 2 decimals. ",IF($D40&gt;24,"Visit length: 24 hours or less. ",""))))))&amp;IF($E40="","",IF(NOT(ISNUMBER($E40)),"Last visit isn't a date (it's text). ",IF($E40&lt;&gt;INT($E40),"Last visit has a time; enter a date only. ",IF(OR($E40&lt;DATE(2000,1,1),$E40&gt;DATE(2099,12,31)),"Last visit must be from 2000 to 2099. ",IF(AND(IF(ISNUMBER($B40),AND($B40=INT($B40),$B40&gt;=DATE(2000,1,1),$B40&lt;=DATE(2099,12,31)),FALSE()),$E40&lt;$B40),"Last visit is before the first visit. ","")))))))</f>
        <v/>
      </c>
      <c r="J40" s="39" t="n">
        <f aca="false">IF($H40="OK",1,0)</f>
        <v>0</v>
      </c>
      <c r="K40" s="40" t="n">
        <f aca="false">IF($J40=1,$B40,0)</f>
        <v>0</v>
      </c>
      <c r="L40" s="39" t="n">
        <f aca="false">IF($J40=1,7*MATCH($C40&amp;"",{"Weekly","Every 2 weeks","Every 3 weeks","Every 4 weeks"},0),7)</f>
        <v>7</v>
      </c>
      <c r="M40" s="40" t="n">
        <f aca="false">IF($J40=1,IF($E40="",2958465,$E40),0)</f>
        <v>0</v>
      </c>
      <c r="N40" s="39" t="n">
        <f aca="false">IF($J40=1,ROUND($D40*100,0),0)</f>
        <v>0</v>
      </c>
      <c r="O40" s="40" t="str">
        <f aca="false">IF($J40&lt;&gt;1,"",IF(AND((WeekMon+WEEKDAY($K40,2)-1)&gt;=$K40,MOD((WeekMon+WEEKDAY($K40,2)-1)-$K40,$L40)=0,(WeekMon+WEEKDAY($K40,2)-1)&lt;=$M40),(WeekMon+WEEKDAY($K40,2)-1),""))</f>
        <v/>
      </c>
      <c r="P40" s="39" t="str">
        <f aca="false">IF($O40="","",($O40-WeekMon)*1000+ROW()-11)</f>
        <v/>
      </c>
    </row>
    <row r="41" customFormat="false" ht="15" hidden="false" customHeight="false" outlineLevel="0" collapsed="false">
      <c r="A41" s="33"/>
      <c r="B41" s="34"/>
      <c r="C41" s="33"/>
      <c r="D41" s="35"/>
      <c r="E41" s="34"/>
      <c r="F41" s="36" t="str">
        <f aca="false">IF(IF(ISNUMBER($B41),AND($B41=INT($B41),$B41&gt;=DATE(2000,1,1),$B41&lt;=DATE(2099,12,31)),FALSE()),CHOOSE(WEEKDAY($B41,2),"Monday","Tuesday","Wednesday","Thursday","Friday","Saturday","Sunday"),"")</f>
        <v/>
      </c>
      <c r="G41" s="36" t="str">
        <f aca="false">IF($J41&lt;&gt;1,"",MAX(0,INT((MIN(WinStart+83,$M41)-MAX($K41,$K41+ROUNDUP((WinStart-$K41)/$L41,0)*$L41))/$L41)+1))</f>
        <v/>
      </c>
      <c r="H41" s="37" t="str">
        <f aca="false">IF(AND($A41="",$B41="",$C41="",$D41="",$E41=""),"",IF($I41="","OK","Check details"))</f>
        <v/>
      </c>
      <c r="I41" s="38" t="str">
        <f aca="false">IF(AND($A41="",$B41="",$C41="",$D41="",$E41=""),"",TRIM(IF(TRIM($A41&amp;"")="","Label is missing. ","")&amp;IF($B41="","First visit is missing. ",IF(NOT(ISNUMBER($B41)),"First visit isn't a date (it's text). ",IF($B41&lt;&gt;INT($B41),"First visit has a time; enter a date only. ",IF(OR($B41&lt;DATE(2000,1,1),$B41&gt;DATE(2099,12,31)),"First visit must be from 2000 to 2099. ",""))))&amp;IF($C41="","Repeat every is missing. ",IF(ISNA(MATCH($C41&amp;"",{"Weekly","Every 2 weeks","Every 3 weeks","Every 4 weeks"},0)),"Repeat every must be Weekly or Every 2, 3 or 4 weeks. ",""))&amp;IF($D41="","Visit length is missing. ",IF(NOT(ISNUMBER($D41)),"Visit length must be a number of hours. ",IF($D41&lt;0,"Visit length can't be negative. ",IF($D41=0,"Visit length must be more than 0. ",IF(ABS($D41*100-ROUND($D41*100,0))&gt;0.000001,"Visit length: use up to 2 decimals. ",IF($D41&gt;24,"Visit length: 24 hours or less. ",""))))))&amp;IF($E41="","",IF(NOT(ISNUMBER($E41)),"Last visit isn't a date (it's text). ",IF($E41&lt;&gt;INT($E41),"Last visit has a time; enter a date only. ",IF(OR($E41&lt;DATE(2000,1,1),$E41&gt;DATE(2099,12,31)),"Last visit must be from 2000 to 2099. ",IF(AND(IF(ISNUMBER($B41),AND($B41=INT($B41),$B41&gt;=DATE(2000,1,1),$B41&lt;=DATE(2099,12,31)),FALSE()),$E41&lt;$B41),"Last visit is before the first visit. ","")))))))</f>
        <v/>
      </c>
      <c r="J41" s="39" t="n">
        <f aca="false">IF($H41="OK",1,0)</f>
        <v>0</v>
      </c>
      <c r="K41" s="40" t="n">
        <f aca="false">IF($J41=1,$B41,0)</f>
        <v>0</v>
      </c>
      <c r="L41" s="39" t="n">
        <f aca="false">IF($J41=1,7*MATCH($C41&amp;"",{"Weekly","Every 2 weeks","Every 3 weeks","Every 4 weeks"},0),7)</f>
        <v>7</v>
      </c>
      <c r="M41" s="40" t="n">
        <f aca="false">IF($J41=1,IF($E41="",2958465,$E41),0)</f>
        <v>0</v>
      </c>
      <c r="N41" s="39" t="n">
        <f aca="false">IF($J41=1,ROUND($D41*100,0),0)</f>
        <v>0</v>
      </c>
      <c r="O41" s="40" t="str">
        <f aca="false">IF($J41&lt;&gt;1,"",IF(AND((WeekMon+WEEKDAY($K41,2)-1)&gt;=$K41,MOD((WeekMon+WEEKDAY($K41,2)-1)-$K41,$L41)=0,(WeekMon+WEEKDAY($K41,2)-1)&lt;=$M41),(WeekMon+WEEKDAY($K41,2)-1),""))</f>
        <v/>
      </c>
      <c r="P41" s="39" t="str">
        <f aca="false">IF($O41="","",($O41-WeekMon)*1000+ROW()-11)</f>
        <v/>
      </c>
    </row>
    <row r="42" customFormat="false" ht="15" hidden="false" customHeight="false" outlineLevel="0" collapsed="false">
      <c r="A42" s="33"/>
      <c r="B42" s="34"/>
      <c r="C42" s="33"/>
      <c r="D42" s="35"/>
      <c r="E42" s="34"/>
      <c r="F42" s="36" t="str">
        <f aca="false">IF(IF(ISNUMBER($B42),AND($B42=INT($B42),$B42&gt;=DATE(2000,1,1),$B42&lt;=DATE(2099,12,31)),FALSE()),CHOOSE(WEEKDAY($B42,2),"Monday","Tuesday","Wednesday","Thursday","Friday","Saturday","Sunday"),"")</f>
        <v/>
      </c>
      <c r="G42" s="36" t="str">
        <f aca="false">IF($J42&lt;&gt;1,"",MAX(0,INT((MIN(WinStart+83,$M42)-MAX($K42,$K42+ROUNDUP((WinStart-$K42)/$L42,0)*$L42))/$L42)+1))</f>
        <v/>
      </c>
      <c r="H42" s="37" t="str">
        <f aca="false">IF(AND($A42="",$B42="",$C42="",$D42="",$E42=""),"",IF($I42="","OK","Check details"))</f>
        <v/>
      </c>
      <c r="I42" s="38" t="str">
        <f aca="false">IF(AND($A42="",$B42="",$C42="",$D42="",$E42=""),"",TRIM(IF(TRIM($A42&amp;"")="","Label is missing. ","")&amp;IF($B42="","First visit is missing. ",IF(NOT(ISNUMBER($B42)),"First visit isn't a date (it's text). ",IF($B42&lt;&gt;INT($B42),"First visit has a time; enter a date only. ",IF(OR($B42&lt;DATE(2000,1,1),$B42&gt;DATE(2099,12,31)),"First visit must be from 2000 to 2099. ",""))))&amp;IF($C42="","Repeat every is missing. ",IF(ISNA(MATCH($C42&amp;"",{"Weekly","Every 2 weeks","Every 3 weeks","Every 4 weeks"},0)),"Repeat every must be Weekly or Every 2, 3 or 4 weeks. ",""))&amp;IF($D42="","Visit length is missing. ",IF(NOT(ISNUMBER($D42)),"Visit length must be a number of hours. ",IF($D42&lt;0,"Visit length can't be negative. ",IF($D42=0,"Visit length must be more than 0. ",IF(ABS($D42*100-ROUND($D42*100,0))&gt;0.000001,"Visit length: use up to 2 decimals. ",IF($D42&gt;24,"Visit length: 24 hours or less. ",""))))))&amp;IF($E42="","",IF(NOT(ISNUMBER($E42)),"Last visit isn't a date (it's text). ",IF($E42&lt;&gt;INT($E42),"Last visit has a time; enter a date only. ",IF(OR($E42&lt;DATE(2000,1,1),$E42&gt;DATE(2099,12,31)),"Last visit must be from 2000 to 2099. ",IF(AND(IF(ISNUMBER($B42),AND($B42=INT($B42),$B42&gt;=DATE(2000,1,1),$B42&lt;=DATE(2099,12,31)),FALSE()),$E42&lt;$B42),"Last visit is before the first visit. ","")))))))</f>
        <v/>
      </c>
      <c r="J42" s="39" t="n">
        <f aca="false">IF($H42="OK",1,0)</f>
        <v>0</v>
      </c>
      <c r="K42" s="40" t="n">
        <f aca="false">IF($J42=1,$B42,0)</f>
        <v>0</v>
      </c>
      <c r="L42" s="39" t="n">
        <f aca="false">IF($J42=1,7*MATCH($C42&amp;"",{"Weekly","Every 2 weeks","Every 3 weeks","Every 4 weeks"},0),7)</f>
        <v>7</v>
      </c>
      <c r="M42" s="40" t="n">
        <f aca="false">IF($J42=1,IF($E42="",2958465,$E42),0)</f>
        <v>0</v>
      </c>
      <c r="N42" s="39" t="n">
        <f aca="false">IF($J42=1,ROUND($D42*100,0),0)</f>
        <v>0</v>
      </c>
      <c r="O42" s="40" t="str">
        <f aca="false">IF($J42&lt;&gt;1,"",IF(AND((WeekMon+WEEKDAY($K42,2)-1)&gt;=$K42,MOD((WeekMon+WEEKDAY($K42,2)-1)-$K42,$L42)=0,(WeekMon+WEEKDAY($K42,2)-1)&lt;=$M42),(WeekMon+WEEKDAY($K42,2)-1),""))</f>
        <v/>
      </c>
      <c r="P42" s="39" t="str">
        <f aca="false">IF($O42="","",($O42-WeekMon)*1000+ROW()-11)</f>
        <v/>
      </c>
    </row>
    <row r="43" customFormat="false" ht="15" hidden="false" customHeight="false" outlineLevel="0" collapsed="false">
      <c r="A43" s="33"/>
      <c r="B43" s="34"/>
      <c r="C43" s="33"/>
      <c r="D43" s="35"/>
      <c r="E43" s="34"/>
      <c r="F43" s="36" t="str">
        <f aca="false">IF(IF(ISNUMBER($B43),AND($B43=INT($B43),$B43&gt;=DATE(2000,1,1),$B43&lt;=DATE(2099,12,31)),FALSE()),CHOOSE(WEEKDAY($B43,2),"Monday","Tuesday","Wednesday","Thursday","Friday","Saturday","Sunday"),"")</f>
        <v/>
      </c>
      <c r="G43" s="36" t="str">
        <f aca="false">IF($J43&lt;&gt;1,"",MAX(0,INT((MIN(WinStart+83,$M43)-MAX($K43,$K43+ROUNDUP((WinStart-$K43)/$L43,0)*$L43))/$L43)+1))</f>
        <v/>
      </c>
      <c r="H43" s="37" t="str">
        <f aca="false">IF(AND($A43="",$B43="",$C43="",$D43="",$E43=""),"",IF($I43="","OK","Check details"))</f>
        <v/>
      </c>
      <c r="I43" s="38" t="str">
        <f aca="false">IF(AND($A43="",$B43="",$C43="",$D43="",$E43=""),"",TRIM(IF(TRIM($A43&amp;"")="","Label is missing. ","")&amp;IF($B43="","First visit is missing. ",IF(NOT(ISNUMBER($B43)),"First visit isn't a date (it's text). ",IF($B43&lt;&gt;INT($B43),"First visit has a time; enter a date only. ",IF(OR($B43&lt;DATE(2000,1,1),$B43&gt;DATE(2099,12,31)),"First visit must be from 2000 to 2099. ",""))))&amp;IF($C43="","Repeat every is missing. ",IF(ISNA(MATCH($C43&amp;"",{"Weekly","Every 2 weeks","Every 3 weeks","Every 4 weeks"},0)),"Repeat every must be Weekly or Every 2, 3 or 4 weeks. ",""))&amp;IF($D43="","Visit length is missing. ",IF(NOT(ISNUMBER($D43)),"Visit length must be a number of hours. ",IF($D43&lt;0,"Visit length can't be negative. ",IF($D43=0,"Visit length must be more than 0. ",IF(ABS($D43*100-ROUND($D43*100,0))&gt;0.000001,"Visit length: use up to 2 decimals. ",IF($D43&gt;24,"Visit length: 24 hours or less. ",""))))))&amp;IF($E43="","",IF(NOT(ISNUMBER($E43)),"Last visit isn't a date (it's text). ",IF($E43&lt;&gt;INT($E43),"Last visit has a time; enter a date only. ",IF(OR($E43&lt;DATE(2000,1,1),$E43&gt;DATE(2099,12,31)),"Last visit must be from 2000 to 2099. ",IF(AND(IF(ISNUMBER($B43),AND($B43=INT($B43),$B43&gt;=DATE(2000,1,1),$B43&lt;=DATE(2099,12,31)),FALSE()),$E43&lt;$B43),"Last visit is before the first visit. ","")))))))</f>
        <v/>
      </c>
      <c r="J43" s="39" t="n">
        <f aca="false">IF($H43="OK",1,0)</f>
        <v>0</v>
      </c>
      <c r="K43" s="40" t="n">
        <f aca="false">IF($J43=1,$B43,0)</f>
        <v>0</v>
      </c>
      <c r="L43" s="39" t="n">
        <f aca="false">IF($J43=1,7*MATCH($C43&amp;"",{"Weekly","Every 2 weeks","Every 3 weeks","Every 4 weeks"},0),7)</f>
        <v>7</v>
      </c>
      <c r="M43" s="40" t="n">
        <f aca="false">IF($J43=1,IF($E43="",2958465,$E43),0)</f>
        <v>0</v>
      </c>
      <c r="N43" s="39" t="n">
        <f aca="false">IF($J43=1,ROUND($D43*100,0),0)</f>
        <v>0</v>
      </c>
      <c r="O43" s="40" t="str">
        <f aca="false">IF($J43&lt;&gt;1,"",IF(AND((WeekMon+WEEKDAY($K43,2)-1)&gt;=$K43,MOD((WeekMon+WEEKDAY($K43,2)-1)-$K43,$L43)=0,(WeekMon+WEEKDAY($K43,2)-1)&lt;=$M43),(WeekMon+WEEKDAY($K43,2)-1),""))</f>
        <v/>
      </c>
      <c r="P43" s="39" t="str">
        <f aca="false">IF($O43="","",($O43-WeekMon)*1000+ROW()-11)</f>
        <v/>
      </c>
    </row>
    <row r="44" customFormat="false" ht="15" hidden="false" customHeight="false" outlineLevel="0" collapsed="false">
      <c r="A44" s="33"/>
      <c r="B44" s="34"/>
      <c r="C44" s="33"/>
      <c r="D44" s="35"/>
      <c r="E44" s="34"/>
      <c r="F44" s="36" t="str">
        <f aca="false">IF(IF(ISNUMBER($B44),AND($B44=INT($B44),$B44&gt;=DATE(2000,1,1),$B44&lt;=DATE(2099,12,31)),FALSE()),CHOOSE(WEEKDAY($B44,2),"Monday","Tuesday","Wednesday","Thursday","Friday","Saturday","Sunday"),"")</f>
        <v/>
      </c>
      <c r="G44" s="36" t="str">
        <f aca="false">IF($J44&lt;&gt;1,"",MAX(0,INT((MIN(WinStart+83,$M44)-MAX($K44,$K44+ROUNDUP((WinStart-$K44)/$L44,0)*$L44))/$L44)+1))</f>
        <v/>
      </c>
      <c r="H44" s="37" t="str">
        <f aca="false">IF(AND($A44="",$B44="",$C44="",$D44="",$E44=""),"",IF($I44="","OK","Check details"))</f>
        <v/>
      </c>
      <c r="I44" s="38" t="str">
        <f aca="false">IF(AND($A44="",$B44="",$C44="",$D44="",$E44=""),"",TRIM(IF(TRIM($A44&amp;"")="","Label is missing. ","")&amp;IF($B44="","First visit is missing. ",IF(NOT(ISNUMBER($B44)),"First visit isn't a date (it's text). ",IF($B44&lt;&gt;INT($B44),"First visit has a time; enter a date only. ",IF(OR($B44&lt;DATE(2000,1,1),$B44&gt;DATE(2099,12,31)),"First visit must be from 2000 to 2099. ",""))))&amp;IF($C44="","Repeat every is missing. ",IF(ISNA(MATCH($C44&amp;"",{"Weekly","Every 2 weeks","Every 3 weeks","Every 4 weeks"},0)),"Repeat every must be Weekly or Every 2, 3 or 4 weeks. ",""))&amp;IF($D44="","Visit length is missing. ",IF(NOT(ISNUMBER($D44)),"Visit length must be a number of hours. ",IF($D44&lt;0,"Visit length can't be negative. ",IF($D44=0,"Visit length must be more than 0. ",IF(ABS($D44*100-ROUND($D44*100,0))&gt;0.000001,"Visit length: use up to 2 decimals. ",IF($D44&gt;24,"Visit length: 24 hours or less. ",""))))))&amp;IF($E44="","",IF(NOT(ISNUMBER($E44)),"Last visit isn't a date (it's text). ",IF($E44&lt;&gt;INT($E44),"Last visit has a time; enter a date only. ",IF(OR($E44&lt;DATE(2000,1,1),$E44&gt;DATE(2099,12,31)),"Last visit must be from 2000 to 2099. ",IF(AND(IF(ISNUMBER($B44),AND($B44=INT($B44),$B44&gt;=DATE(2000,1,1),$B44&lt;=DATE(2099,12,31)),FALSE()),$E44&lt;$B44),"Last visit is before the first visit. ","")))))))</f>
        <v/>
      </c>
      <c r="J44" s="39" t="n">
        <f aca="false">IF($H44="OK",1,0)</f>
        <v>0</v>
      </c>
      <c r="K44" s="40" t="n">
        <f aca="false">IF($J44=1,$B44,0)</f>
        <v>0</v>
      </c>
      <c r="L44" s="39" t="n">
        <f aca="false">IF($J44=1,7*MATCH($C44&amp;"",{"Weekly","Every 2 weeks","Every 3 weeks","Every 4 weeks"},0),7)</f>
        <v>7</v>
      </c>
      <c r="M44" s="40" t="n">
        <f aca="false">IF($J44=1,IF($E44="",2958465,$E44),0)</f>
        <v>0</v>
      </c>
      <c r="N44" s="39" t="n">
        <f aca="false">IF($J44=1,ROUND($D44*100,0),0)</f>
        <v>0</v>
      </c>
      <c r="O44" s="40" t="str">
        <f aca="false">IF($J44&lt;&gt;1,"",IF(AND((WeekMon+WEEKDAY($K44,2)-1)&gt;=$K44,MOD((WeekMon+WEEKDAY($K44,2)-1)-$K44,$L44)=0,(WeekMon+WEEKDAY($K44,2)-1)&lt;=$M44),(WeekMon+WEEKDAY($K44,2)-1),""))</f>
        <v/>
      </c>
      <c r="P44" s="39" t="str">
        <f aca="false">IF($O44="","",($O44-WeekMon)*1000+ROW()-11)</f>
        <v/>
      </c>
    </row>
    <row r="45" customFormat="false" ht="15" hidden="false" customHeight="false" outlineLevel="0" collapsed="false">
      <c r="A45" s="33"/>
      <c r="B45" s="34"/>
      <c r="C45" s="33"/>
      <c r="D45" s="35"/>
      <c r="E45" s="34"/>
      <c r="F45" s="36" t="str">
        <f aca="false">IF(IF(ISNUMBER($B45),AND($B45=INT($B45),$B45&gt;=DATE(2000,1,1),$B45&lt;=DATE(2099,12,31)),FALSE()),CHOOSE(WEEKDAY($B45,2),"Monday","Tuesday","Wednesday","Thursday","Friday","Saturday","Sunday"),"")</f>
        <v/>
      </c>
      <c r="G45" s="36" t="str">
        <f aca="false">IF($J45&lt;&gt;1,"",MAX(0,INT((MIN(WinStart+83,$M45)-MAX($K45,$K45+ROUNDUP((WinStart-$K45)/$L45,0)*$L45))/$L45)+1))</f>
        <v/>
      </c>
      <c r="H45" s="37" t="str">
        <f aca="false">IF(AND($A45="",$B45="",$C45="",$D45="",$E45=""),"",IF($I45="","OK","Check details"))</f>
        <v/>
      </c>
      <c r="I45" s="38" t="str">
        <f aca="false">IF(AND($A45="",$B45="",$C45="",$D45="",$E45=""),"",TRIM(IF(TRIM($A45&amp;"")="","Label is missing. ","")&amp;IF($B45="","First visit is missing. ",IF(NOT(ISNUMBER($B45)),"First visit isn't a date (it's text). ",IF($B45&lt;&gt;INT($B45),"First visit has a time; enter a date only. ",IF(OR($B45&lt;DATE(2000,1,1),$B45&gt;DATE(2099,12,31)),"First visit must be from 2000 to 2099. ",""))))&amp;IF($C45="","Repeat every is missing. ",IF(ISNA(MATCH($C45&amp;"",{"Weekly","Every 2 weeks","Every 3 weeks","Every 4 weeks"},0)),"Repeat every must be Weekly or Every 2, 3 or 4 weeks. ",""))&amp;IF($D45="","Visit length is missing. ",IF(NOT(ISNUMBER($D45)),"Visit length must be a number of hours. ",IF($D45&lt;0,"Visit length can't be negative. ",IF($D45=0,"Visit length must be more than 0. ",IF(ABS($D45*100-ROUND($D45*100,0))&gt;0.000001,"Visit length: use up to 2 decimals. ",IF($D45&gt;24,"Visit length: 24 hours or less. ",""))))))&amp;IF($E45="","",IF(NOT(ISNUMBER($E45)),"Last visit isn't a date (it's text). ",IF($E45&lt;&gt;INT($E45),"Last visit has a time; enter a date only. ",IF(OR($E45&lt;DATE(2000,1,1),$E45&gt;DATE(2099,12,31)),"Last visit must be from 2000 to 2099. ",IF(AND(IF(ISNUMBER($B45),AND($B45=INT($B45),$B45&gt;=DATE(2000,1,1),$B45&lt;=DATE(2099,12,31)),FALSE()),$E45&lt;$B45),"Last visit is before the first visit. ","")))))))</f>
        <v/>
      </c>
      <c r="J45" s="39" t="n">
        <f aca="false">IF($H45="OK",1,0)</f>
        <v>0</v>
      </c>
      <c r="K45" s="40" t="n">
        <f aca="false">IF($J45=1,$B45,0)</f>
        <v>0</v>
      </c>
      <c r="L45" s="39" t="n">
        <f aca="false">IF($J45=1,7*MATCH($C45&amp;"",{"Weekly","Every 2 weeks","Every 3 weeks","Every 4 weeks"},0),7)</f>
        <v>7</v>
      </c>
      <c r="M45" s="40" t="n">
        <f aca="false">IF($J45=1,IF($E45="",2958465,$E45),0)</f>
        <v>0</v>
      </c>
      <c r="N45" s="39" t="n">
        <f aca="false">IF($J45=1,ROUND($D45*100,0),0)</f>
        <v>0</v>
      </c>
      <c r="O45" s="40" t="str">
        <f aca="false">IF($J45&lt;&gt;1,"",IF(AND((WeekMon+WEEKDAY($K45,2)-1)&gt;=$K45,MOD((WeekMon+WEEKDAY($K45,2)-1)-$K45,$L45)=0,(WeekMon+WEEKDAY($K45,2)-1)&lt;=$M45),(WeekMon+WEEKDAY($K45,2)-1),""))</f>
        <v/>
      </c>
      <c r="P45" s="39" t="str">
        <f aca="false">IF($O45="","",($O45-WeekMon)*1000+ROW()-11)</f>
        <v/>
      </c>
    </row>
    <row r="46" customFormat="false" ht="15" hidden="false" customHeight="false" outlineLevel="0" collapsed="false">
      <c r="A46" s="33"/>
      <c r="B46" s="34"/>
      <c r="C46" s="33"/>
      <c r="D46" s="35"/>
      <c r="E46" s="34"/>
      <c r="F46" s="36" t="str">
        <f aca="false">IF(IF(ISNUMBER($B46),AND($B46=INT($B46),$B46&gt;=DATE(2000,1,1),$B46&lt;=DATE(2099,12,31)),FALSE()),CHOOSE(WEEKDAY($B46,2),"Monday","Tuesday","Wednesday","Thursday","Friday","Saturday","Sunday"),"")</f>
        <v/>
      </c>
      <c r="G46" s="36" t="str">
        <f aca="false">IF($J46&lt;&gt;1,"",MAX(0,INT((MIN(WinStart+83,$M46)-MAX($K46,$K46+ROUNDUP((WinStart-$K46)/$L46,0)*$L46))/$L46)+1))</f>
        <v/>
      </c>
      <c r="H46" s="37" t="str">
        <f aca="false">IF(AND($A46="",$B46="",$C46="",$D46="",$E46=""),"",IF($I46="","OK","Check details"))</f>
        <v/>
      </c>
      <c r="I46" s="38" t="str">
        <f aca="false">IF(AND($A46="",$B46="",$C46="",$D46="",$E46=""),"",TRIM(IF(TRIM($A46&amp;"")="","Label is missing. ","")&amp;IF($B46="","First visit is missing. ",IF(NOT(ISNUMBER($B46)),"First visit isn't a date (it's text). ",IF($B46&lt;&gt;INT($B46),"First visit has a time; enter a date only. ",IF(OR($B46&lt;DATE(2000,1,1),$B46&gt;DATE(2099,12,31)),"First visit must be from 2000 to 2099. ",""))))&amp;IF($C46="","Repeat every is missing. ",IF(ISNA(MATCH($C46&amp;"",{"Weekly","Every 2 weeks","Every 3 weeks","Every 4 weeks"},0)),"Repeat every must be Weekly or Every 2, 3 or 4 weeks. ",""))&amp;IF($D46="","Visit length is missing. ",IF(NOT(ISNUMBER($D46)),"Visit length must be a number of hours. ",IF($D46&lt;0,"Visit length can't be negative. ",IF($D46=0,"Visit length must be more than 0. ",IF(ABS($D46*100-ROUND($D46*100,0))&gt;0.000001,"Visit length: use up to 2 decimals. ",IF($D46&gt;24,"Visit length: 24 hours or less. ",""))))))&amp;IF($E46="","",IF(NOT(ISNUMBER($E46)),"Last visit isn't a date (it's text). ",IF($E46&lt;&gt;INT($E46),"Last visit has a time; enter a date only. ",IF(OR($E46&lt;DATE(2000,1,1),$E46&gt;DATE(2099,12,31)),"Last visit must be from 2000 to 2099. ",IF(AND(IF(ISNUMBER($B46),AND($B46=INT($B46),$B46&gt;=DATE(2000,1,1),$B46&lt;=DATE(2099,12,31)),FALSE()),$E46&lt;$B46),"Last visit is before the first visit. ","")))))))</f>
        <v/>
      </c>
      <c r="J46" s="39" t="n">
        <f aca="false">IF($H46="OK",1,0)</f>
        <v>0</v>
      </c>
      <c r="K46" s="40" t="n">
        <f aca="false">IF($J46=1,$B46,0)</f>
        <v>0</v>
      </c>
      <c r="L46" s="39" t="n">
        <f aca="false">IF($J46=1,7*MATCH($C46&amp;"",{"Weekly","Every 2 weeks","Every 3 weeks","Every 4 weeks"},0),7)</f>
        <v>7</v>
      </c>
      <c r="M46" s="40" t="n">
        <f aca="false">IF($J46=1,IF($E46="",2958465,$E46),0)</f>
        <v>0</v>
      </c>
      <c r="N46" s="39" t="n">
        <f aca="false">IF($J46=1,ROUND($D46*100,0),0)</f>
        <v>0</v>
      </c>
      <c r="O46" s="40" t="str">
        <f aca="false">IF($J46&lt;&gt;1,"",IF(AND((WeekMon+WEEKDAY($K46,2)-1)&gt;=$K46,MOD((WeekMon+WEEKDAY($K46,2)-1)-$K46,$L46)=0,(WeekMon+WEEKDAY($K46,2)-1)&lt;=$M46),(WeekMon+WEEKDAY($K46,2)-1),""))</f>
        <v/>
      </c>
      <c r="P46" s="39" t="str">
        <f aca="false">IF($O46="","",($O46-WeekMon)*1000+ROW()-11)</f>
        <v/>
      </c>
    </row>
    <row r="47" customFormat="false" ht="15" hidden="false" customHeight="false" outlineLevel="0" collapsed="false">
      <c r="A47" s="33"/>
      <c r="B47" s="34"/>
      <c r="C47" s="33"/>
      <c r="D47" s="35"/>
      <c r="E47" s="34"/>
      <c r="F47" s="36" t="str">
        <f aca="false">IF(IF(ISNUMBER($B47),AND($B47=INT($B47),$B47&gt;=DATE(2000,1,1),$B47&lt;=DATE(2099,12,31)),FALSE()),CHOOSE(WEEKDAY($B47,2),"Monday","Tuesday","Wednesday","Thursday","Friday","Saturday","Sunday"),"")</f>
        <v/>
      </c>
      <c r="G47" s="36" t="str">
        <f aca="false">IF($J47&lt;&gt;1,"",MAX(0,INT((MIN(WinStart+83,$M47)-MAX($K47,$K47+ROUNDUP((WinStart-$K47)/$L47,0)*$L47))/$L47)+1))</f>
        <v/>
      </c>
      <c r="H47" s="37" t="str">
        <f aca="false">IF(AND($A47="",$B47="",$C47="",$D47="",$E47=""),"",IF($I47="","OK","Check details"))</f>
        <v/>
      </c>
      <c r="I47" s="38" t="str">
        <f aca="false">IF(AND($A47="",$B47="",$C47="",$D47="",$E47=""),"",TRIM(IF(TRIM($A47&amp;"")="","Label is missing. ","")&amp;IF($B47="","First visit is missing. ",IF(NOT(ISNUMBER($B47)),"First visit isn't a date (it's text). ",IF($B47&lt;&gt;INT($B47),"First visit has a time; enter a date only. ",IF(OR($B47&lt;DATE(2000,1,1),$B47&gt;DATE(2099,12,31)),"First visit must be from 2000 to 2099. ",""))))&amp;IF($C47="","Repeat every is missing. ",IF(ISNA(MATCH($C47&amp;"",{"Weekly","Every 2 weeks","Every 3 weeks","Every 4 weeks"},0)),"Repeat every must be Weekly or Every 2, 3 or 4 weeks. ",""))&amp;IF($D47="","Visit length is missing. ",IF(NOT(ISNUMBER($D47)),"Visit length must be a number of hours. ",IF($D47&lt;0,"Visit length can't be negative. ",IF($D47=0,"Visit length must be more than 0. ",IF(ABS($D47*100-ROUND($D47*100,0))&gt;0.000001,"Visit length: use up to 2 decimals. ",IF($D47&gt;24,"Visit length: 24 hours or less. ",""))))))&amp;IF($E47="","",IF(NOT(ISNUMBER($E47)),"Last visit isn't a date (it's text). ",IF($E47&lt;&gt;INT($E47),"Last visit has a time; enter a date only. ",IF(OR($E47&lt;DATE(2000,1,1),$E47&gt;DATE(2099,12,31)),"Last visit must be from 2000 to 2099. ",IF(AND(IF(ISNUMBER($B47),AND($B47=INT($B47),$B47&gt;=DATE(2000,1,1),$B47&lt;=DATE(2099,12,31)),FALSE()),$E47&lt;$B47),"Last visit is before the first visit. ","")))))))</f>
        <v/>
      </c>
      <c r="J47" s="39" t="n">
        <f aca="false">IF($H47="OK",1,0)</f>
        <v>0</v>
      </c>
      <c r="K47" s="40" t="n">
        <f aca="false">IF($J47=1,$B47,0)</f>
        <v>0</v>
      </c>
      <c r="L47" s="39" t="n">
        <f aca="false">IF($J47=1,7*MATCH($C47&amp;"",{"Weekly","Every 2 weeks","Every 3 weeks","Every 4 weeks"},0),7)</f>
        <v>7</v>
      </c>
      <c r="M47" s="40" t="n">
        <f aca="false">IF($J47=1,IF($E47="",2958465,$E47),0)</f>
        <v>0</v>
      </c>
      <c r="N47" s="39" t="n">
        <f aca="false">IF($J47=1,ROUND($D47*100,0),0)</f>
        <v>0</v>
      </c>
      <c r="O47" s="40" t="str">
        <f aca="false">IF($J47&lt;&gt;1,"",IF(AND((WeekMon+WEEKDAY($K47,2)-1)&gt;=$K47,MOD((WeekMon+WEEKDAY($K47,2)-1)-$K47,$L47)=0,(WeekMon+WEEKDAY($K47,2)-1)&lt;=$M47),(WeekMon+WEEKDAY($K47,2)-1),""))</f>
        <v/>
      </c>
      <c r="P47" s="39" t="str">
        <f aca="false">IF($O47="","",($O47-WeekMon)*1000+ROW()-11)</f>
        <v/>
      </c>
    </row>
    <row r="48" customFormat="false" ht="15" hidden="false" customHeight="false" outlineLevel="0" collapsed="false">
      <c r="A48" s="33"/>
      <c r="B48" s="34"/>
      <c r="C48" s="33"/>
      <c r="D48" s="35"/>
      <c r="E48" s="34"/>
      <c r="F48" s="36" t="str">
        <f aca="false">IF(IF(ISNUMBER($B48),AND($B48=INT($B48),$B48&gt;=DATE(2000,1,1),$B48&lt;=DATE(2099,12,31)),FALSE()),CHOOSE(WEEKDAY($B48,2),"Monday","Tuesday","Wednesday","Thursday","Friday","Saturday","Sunday"),"")</f>
        <v/>
      </c>
      <c r="G48" s="36" t="str">
        <f aca="false">IF($J48&lt;&gt;1,"",MAX(0,INT((MIN(WinStart+83,$M48)-MAX($K48,$K48+ROUNDUP((WinStart-$K48)/$L48,0)*$L48))/$L48)+1))</f>
        <v/>
      </c>
      <c r="H48" s="37" t="str">
        <f aca="false">IF(AND($A48="",$B48="",$C48="",$D48="",$E48=""),"",IF($I48="","OK","Check details"))</f>
        <v/>
      </c>
      <c r="I48" s="38" t="str">
        <f aca="false">IF(AND($A48="",$B48="",$C48="",$D48="",$E48=""),"",TRIM(IF(TRIM($A48&amp;"")="","Label is missing. ","")&amp;IF($B48="","First visit is missing. ",IF(NOT(ISNUMBER($B48)),"First visit isn't a date (it's text). ",IF($B48&lt;&gt;INT($B48),"First visit has a time; enter a date only. ",IF(OR($B48&lt;DATE(2000,1,1),$B48&gt;DATE(2099,12,31)),"First visit must be from 2000 to 2099. ",""))))&amp;IF($C48="","Repeat every is missing. ",IF(ISNA(MATCH($C48&amp;"",{"Weekly","Every 2 weeks","Every 3 weeks","Every 4 weeks"},0)),"Repeat every must be Weekly or Every 2, 3 or 4 weeks. ",""))&amp;IF($D48="","Visit length is missing. ",IF(NOT(ISNUMBER($D48)),"Visit length must be a number of hours. ",IF($D48&lt;0,"Visit length can't be negative. ",IF($D48=0,"Visit length must be more than 0. ",IF(ABS($D48*100-ROUND($D48*100,0))&gt;0.000001,"Visit length: use up to 2 decimals. ",IF($D48&gt;24,"Visit length: 24 hours or less. ",""))))))&amp;IF($E48="","",IF(NOT(ISNUMBER($E48)),"Last visit isn't a date (it's text). ",IF($E48&lt;&gt;INT($E48),"Last visit has a time; enter a date only. ",IF(OR($E48&lt;DATE(2000,1,1),$E48&gt;DATE(2099,12,31)),"Last visit must be from 2000 to 2099. ",IF(AND(IF(ISNUMBER($B48),AND($B48=INT($B48),$B48&gt;=DATE(2000,1,1),$B48&lt;=DATE(2099,12,31)),FALSE()),$E48&lt;$B48),"Last visit is before the first visit. ","")))))))</f>
        <v/>
      </c>
      <c r="J48" s="39" t="n">
        <f aca="false">IF($H48="OK",1,0)</f>
        <v>0</v>
      </c>
      <c r="K48" s="40" t="n">
        <f aca="false">IF($J48=1,$B48,0)</f>
        <v>0</v>
      </c>
      <c r="L48" s="39" t="n">
        <f aca="false">IF($J48=1,7*MATCH($C48&amp;"",{"Weekly","Every 2 weeks","Every 3 weeks","Every 4 weeks"},0),7)</f>
        <v>7</v>
      </c>
      <c r="M48" s="40" t="n">
        <f aca="false">IF($J48=1,IF($E48="",2958465,$E48),0)</f>
        <v>0</v>
      </c>
      <c r="N48" s="39" t="n">
        <f aca="false">IF($J48=1,ROUND($D48*100,0),0)</f>
        <v>0</v>
      </c>
      <c r="O48" s="40" t="str">
        <f aca="false">IF($J48&lt;&gt;1,"",IF(AND((WeekMon+WEEKDAY($K48,2)-1)&gt;=$K48,MOD((WeekMon+WEEKDAY($K48,2)-1)-$K48,$L48)=0,(WeekMon+WEEKDAY($K48,2)-1)&lt;=$M48),(WeekMon+WEEKDAY($K48,2)-1),""))</f>
        <v/>
      </c>
      <c r="P48" s="39" t="str">
        <f aca="false">IF($O48="","",($O48-WeekMon)*1000+ROW()-11)</f>
        <v/>
      </c>
    </row>
    <row r="49" customFormat="false" ht="15" hidden="false" customHeight="false" outlineLevel="0" collapsed="false">
      <c r="A49" s="33"/>
      <c r="B49" s="34"/>
      <c r="C49" s="33"/>
      <c r="D49" s="35"/>
      <c r="E49" s="34"/>
      <c r="F49" s="36" t="str">
        <f aca="false">IF(IF(ISNUMBER($B49),AND($B49=INT($B49),$B49&gt;=DATE(2000,1,1),$B49&lt;=DATE(2099,12,31)),FALSE()),CHOOSE(WEEKDAY($B49,2),"Monday","Tuesday","Wednesday","Thursday","Friday","Saturday","Sunday"),"")</f>
        <v/>
      </c>
      <c r="G49" s="36" t="str">
        <f aca="false">IF($J49&lt;&gt;1,"",MAX(0,INT((MIN(WinStart+83,$M49)-MAX($K49,$K49+ROUNDUP((WinStart-$K49)/$L49,0)*$L49))/$L49)+1))</f>
        <v/>
      </c>
      <c r="H49" s="37" t="str">
        <f aca="false">IF(AND($A49="",$B49="",$C49="",$D49="",$E49=""),"",IF($I49="","OK","Check details"))</f>
        <v/>
      </c>
      <c r="I49" s="38" t="str">
        <f aca="false">IF(AND($A49="",$B49="",$C49="",$D49="",$E49=""),"",TRIM(IF(TRIM($A49&amp;"")="","Label is missing. ","")&amp;IF($B49="","First visit is missing. ",IF(NOT(ISNUMBER($B49)),"First visit isn't a date (it's text). ",IF($B49&lt;&gt;INT($B49),"First visit has a time; enter a date only. ",IF(OR($B49&lt;DATE(2000,1,1),$B49&gt;DATE(2099,12,31)),"First visit must be from 2000 to 2099. ",""))))&amp;IF($C49="","Repeat every is missing. ",IF(ISNA(MATCH($C49&amp;"",{"Weekly","Every 2 weeks","Every 3 weeks","Every 4 weeks"},0)),"Repeat every must be Weekly or Every 2, 3 or 4 weeks. ",""))&amp;IF($D49="","Visit length is missing. ",IF(NOT(ISNUMBER($D49)),"Visit length must be a number of hours. ",IF($D49&lt;0,"Visit length can't be negative. ",IF($D49=0,"Visit length must be more than 0. ",IF(ABS($D49*100-ROUND($D49*100,0))&gt;0.000001,"Visit length: use up to 2 decimals. ",IF($D49&gt;24,"Visit length: 24 hours or less. ",""))))))&amp;IF($E49="","",IF(NOT(ISNUMBER($E49)),"Last visit isn't a date (it's text). ",IF($E49&lt;&gt;INT($E49),"Last visit has a time; enter a date only. ",IF(OR($E49&lt;DATE(2000,1,1),$E49&gt;DATE(2099,12,31)),"Last visit must be from 2000 to 2099. ",IF(AND(IF(ISNUMBER($B49),AND($B49=INT($B49),$B49&gt;=DATE(2000,1,1),$B49&lt;=DATE(2099,12,31)),FALSE()),$E49&lt;$B49),"Last visit is before the first visit. ","")))))))</f>
        <v/>
      </c>
      <c r="J49" s="39" t="n">
        <f aca="false">IF($H49="OK",1,0)</f>
        <v>0</v>
      </c>
      <c r="K49" s="40" t="n">
        <f aca="false">IF($J49=1,$B49,0)</f>
        <v>0</v>
      </c>
      <c r="L49" s="39" t="n">
        <f aca="false">IF($J49=1,7*MATCH($C49&amp;"",{"Weekly","Every 2 weeks","Every 3 weeks","Every 4 weeks"},0),7)</f>
        <v>7</v>
      </c>
      <c r="M49" s="40" t="n">
        <f aca="false">IF($J49=1,IF($E49="",2958465,$E49),0)</f>
        <v>0</v>
      </c>
      <c r="N49" s="39" t="n">
        <f aca="false">IF($J49=1,ROUND($D49*100,0),0)</f>
        <v>0</v>
      </c>
      <c r="O49" s="40" t="str">
        <f aca="false">IF($J49&lt;&gt;1,"",IF(AND((WeekMon+WEEKDAY($K49,2)-1)&gt;=$K49,MOD((WeekMon+WEEKDAY($K49,2)-1)-$K49,$L49)=0,(WeekMon+WEEKDAY($K49,2)-1)&lt;=$M49),(WeekMon+WEEKDAY($K49,2)-1),""))</f>
        <v/>
      </c>
      <c r="P49" s="39" t="str">
        <f aca="false">IF($O49="","",($O49-WeekMon)*1000+ROW()-11)</f>
        <v/>
      </c>
    </row>
    <row r="50" customFormat="false" ht="15" hidden="false" customHeight="false" outlineLevel="0" collapsed="false">
      <c r="A50" s="33"/>
      <c r="B50" s="34"/>
      <c r="C50" s="33"/>
      <c r="D50" s="35"/>
      <c r="E50" s="34"/>
      <c r="F50" s="36" t="str">
        <f aca="false">IF(IF(ISNUMBER($B50),AND($B50=INT($B50),$B50&gt;=DATE(2000,1,1),$B50&lt;=DATE(2099,12,31)),FALSE()),CHOOSE(WEEKDAY($B50,2),"Monday","Tuesday","Wednesday","Thursday","Friday","Saturday","Sunday"),"")</f>
        <v/>
      </c>
      <c r="G50" s="36" t="str">
        <f aca="false">IF($J50&lt;&gt;1,"",MAX(0,INT((MIN(WinStart+83,$M50)-MAX($K50,$K50+ROUNDUP((WinStart-$K50)/$L50,0)*$L50))/$L50)+1))</f>
        <v/>
      </c>
      <c r="H50" s="37" t="str">
        <f aca="false">IF(AND($A50="",$B50="",$C50="",$D50="",$E50=""),"",IF($I50="","OK","Check details"))</f>
        <v/>
      </c>
      <c r="I50" s="38" t="str">
        <f aca="false">IF(AND($A50="",$B50="",$C50="",$D50="",$E50=""),"",TRIM(IF(TRIM($A50&amp;"")="","Label is missing. ","")&amp;IF($B50="","First visit is missing. ",IF(NOT(ISNUMBER($B50)),"First visit isn't a date (it's text). ",IF($B50&lt;&gt;INT($B50),"First visit has a time; enter a date only. ",IF(OR($B50&lt;DATE(2000,1,1),$B50&gt;DATE(2099,12,31)),"First visit must be from 2000 to 2099. ",""))))&amp;IF($C50="","Repeat every is missing. ",IF(ISNA(MATCH($C50&amp;"",{"Weekly","Every 2 weeks","Every 3 weeks","Every 4 weeks"},0)),"Repeat every must be Weekly or Every 2, 3 or 4 weeks. ",""))&amp;IF($D50="","Visit length is missing. ",IF(NOT(ISNUMBER($D50)),"Visit length must be a number of hours. ",IF($D50&lt;0,"Visit length can't be negative. ",IF($D50=0,"Visit length must be more than 0. ",IF(ABS($D50*100-ROUND($D50*100,0))&gt;0.000001,"Visit length: use up to 2 decimals. ",IF($D50&gt;24,"Visit length: 24 hours or less. ",""))))))&amp;IF($E50="","",IF(NOT(ISNUMBER($E50)),"Last visit isn't a date (it's text). ",IF($E50&lt;&gt;INT($E50),"Last visit has a time; enter a date only. ",IF(OR($E50&lt;DATE(2000,1,1),$E50&gt;DATE(2099,12,31)),"Last visit must be from 2000 to 2099. ",IF(AND(IF(ISNUMBER($B50),AND($B50=INT($B50),$B50&gt;=DATE(2000,1,1),$B50&lt;=DATE(2099,12,31)),FALSE()),$E50&lt;$B50),"Last visit is before the first visit. ","")))))))</f>
        <v/>
      </c>
      <c r="J50" s="39" t="n">
        <f aca="false">IF($H50="OK",1,0)</f>
        <v>0</v>
      </c>
      <c r="K50" s="40" t="n">
        <f aca="false">IF($J50=1,$B50,0)</f>
        <v>0</v>
      </c>
      <c r="L50" s="39" t="n">
        <f aca="false">IF($J50=1,7*MATCH($C50&amp;"",{"Weekly","Every 2 weeks","Every 3 weeks","Every 4 weeks"},0),7)</f>
        <v>7</v>
      </c>
      <c r="M50" s="40" t="n">
        <f aca="false">IF($J50=1,IF($E50="",2958465,$E50),0)</f>
        <v>0</v>
      </c>
      <c r="N50" s="39" t="n">
        <f aca="false">IF($J50=1,ROUND($D50*100,0),0)</f>
        <v>0</v>
      </c>
      <c r="O50" s="40" t="str">
        <f aca="false">IF($J50&lt;&gt;1,"",IF(AND((WeekMon+WEEKDAY($K50,2)-1)&gt;=$K50,MOD((WeekMon+WEEKDAY($K50,2)-1)-$K50,$L50)=0,(WeekMon+WEEKDAY($K50,2)-1)&lt;=$M50),(WeekMon+WEEKDAY($K50,2)-1),""))</f>
        <v/>
      </c>
      <c r="P50" s="39" t="str">
        <f aca="false">IF($O50="","",($O50-WeekMon)*1000+ROW()-11)</f>
        <v/>
      </c>
    </row>
    <row r="51" customFormat="false" ht="15" hidden="false" customHeight="false" outlineLevel="0" collapsed="false">
      <c r="A51" s="33"/>
      <c r="B51" s="34"/>
      <c r="C51" s="33"/>
      <c r="D51" s="35"/>
      <c r="E51" s="34"/>
      <c r="F51" s="36" t="str">
        <f aca="false">IF(IF(ISNUMBER($B51),AND($B51=INT($B51),$B51&gt;=DATE(2000,1,1),$B51&lt;=DATE(2099,12,31)),FALSE()),CHOOSE(WEEKDAY($B51,2),"Monday","Tuesday","Wednesday","Thursday","Friday","Saturday","Sunday"),"")</f>
        <v/>
      </c>
      <c r="G51" s="36" t="str">
        <f aca="false">IF($J51&lt;&gt;1,"",MAX(0,INT((MIN(WinStart+83,$M51)-MAX($K51,$K51+ROUNDUP((WinStart-$K51)/$L51,0)*$L51))/$L51)+1))</f>
        <v/>
      </c>
      <c r="H51" s="37" t="str">
        <f aca="false">IF(AND($A51="",$B51="",$C51="",$D51="",$E51=""),"",IF($I51="","OK","Check details"))</f>
        <v/>
      </c>
      <c r="I51" s="38" t="str">
        <f aca="false">IF(AND($A51="",$B51="",$C51="",$D51="",$E51=""),"",TRIM(IF(TRIM($A51&amp;"")="","Label is missing. ","")&amp;IF($B51="","First visit is missing. ",IF(NOT(ISNUMBER($B51)),"First visit isn't a date (it's text). ",IF($B51&lt;&gt;INT($B51),"First visit has a time; enter a date only. ",IF(OR($B51&lt;DATE(2000,1,1),$B51&gt;DATE(2099,12,31)),"First visit must be from 2000 to 2099. ",""))))&amp;IF($C51="","Repeat every is missing. ",IF(ISNA(MATCH($C51&amp;"",{"Weekly","Every 2 weeks","Every 3 weeks","Every 4 weeks"},0)),"Repeat every must be Weekly or Every 2, 3 or 4 weeks. ",""))&amp;IF($D51="","Visit length is missing. ",IF(NOT(ISNUMBER($D51)),"Visit length must be a number of hours. ",IF($D51&lt;0,"Visit length can't be negative. ",IF($D51=0,"Visit length must be more than 0. ",IF(ABS($D51*100-ROUND($D51*100,0))&gt;0.000001,"Visit length: use up to 2 decimals. ",IF($D51&gt;24,"Visit length: 24 hours or less. ",""))))))&amp;IF($E51="","",IF(NOT(ISNUMBER($E51)),"Last visit isn't a date (it's text). ",IF($E51&lt;&gt;INT($E51),"Last visit has a time; enter a date only. ",IF(OR($E51&lt;DATE(2000,1,1),$E51&gt;DATE(2099,12,31)),"Last visit must be from 2000 to 2099. ",IF(AND(IF(ISNUMBER($B51),AND($B51=INT($B51),$B51&gt;=DATE(2000,1,1),$B51&lt;=DATE(2099,12,31)),FALSE()),$E51&lt;$B51),"Last visit is before the first visit. ","")))))))</f>
        <v/>
      </c>
      <c r="J51" s="39" t="n">
        <f aca="false">IF($H51="OK",1,0)</f>
        <v>0</v>
      </c>
      <c r="K51" s="40" t="n">
        <f aca="false">IF($J51=1,$B51,0)</f>
        <v>0</v>
      </c>
      <c r="L51" s="39" t="n">
        <f aca="false">IF($J51=1,7*MATCH($C51&amp;"",{"Weekly","Every 2 weeks","Every 3 weeks","Every 4 weeks"},0),7)</f>
        <v>7</v>
      </c>
      <c r="M51" s="40" t="n">
        <f aca="false">IF($J51=1,IF($E51="",2958465,$E51),0)</f>
        <v>0</v>
      </c>
      <c r="N51" s="39" t="n">
        <f aca="false">IF($J51=1,ROUND($D51*100,0),0)</f>
        <v>0</v>
      </c>
      <c r="O51" s="40" t="str">
        <f aca="false">IF($J51&lt;&gt;1,"",IF(AND((WeekMon+WEEKDAY($K51,2)-1)&gt;=$K51,MOD((WeekMon+WEEKDAY($K51,2)-1)-$K51,$L51)=0,(WeekMon+WEEKDAY($K51,2)-1)&lt;=$M51),(WeekMon+WEEKDAY($K51,2)-1),""))</f>
        <v/>
      </c>
      <c r="P51" s="39" t="str">
        <f aca="false">IF($O51="","",($O51-WeekMon)*1000+ROW()-11)</f>
        <v/>
      </c>
    </row>
    <row r="52" customFormat="false" ht="15" hidden="false" customHeight="false" outlineLevel="0" collapsed="false">
      <c r="A52" s="33"/>
      <c r="B52" s="34"/>
      <c r="C52" s="33"/>
      <c r="D52" s="35"/>
      <c r="E52" s="34"/>
      <c r="F52" s="36" t="str">
        <f aca="false">IF(IF(ISNUMBER($B52),AND($B52=INT($B52),$B52&gt;=DATE(2000,1,1),$B52&lt;=DATE(2099,12,31)),FALSE()),CHOOSE(WEEKDAY($B52,2),"Monday","Tuesday","Wednesday","Thursday","Friday","Saturday","Sunday"),"")</f>
        <v/>
      </c>
      <c r="G52" s="36" t="str">
        <f aca="false">IF($J52&lt;&gt;1,"",MAX(0,INT((MIN(WinStart+83,$M52)-MAX($K52,$K52+ROUNDUP((WinStart-$K52)/$L52,0)*$L52))/$L52)+1))</f>
        <v/>
      </c>
      <c r="H52" s="37" t="str">
        <f aca="false">IF(AND($A52="",$B52="",$C52="",$D52="",$E52=""),"",IF($I52="","OK","Check details"))</f>
        <v/>
      </c>
      <c r="I52" s="38" t="str">
        <f aca="false">IF(AND($A52="",$B52="",$C52="",$D52="",$E52=""),"",TRIM(IF(TRIM($A52&amp;"")="","Label is missing. ","")&amp;IF($B52="","First visit is missing. ",IF(NOT(ISNUMBER($B52)),"First visit isn't a date (it's text). ",IF($B52&lt;&gt;INT($B52),"First visit has a time; enter a date only. ",IF(OR($B52&lt;DATE(2000,1,1),$B52&gt;DATE(2099,12,31)),"First visit must be from 2000 to 2099. ",""))))&amp;IF($C52="","Repeat every is missing. ",IF(ISNA(MATCH($C52&amp;"",{"Weekly","Every 2 weeks","Every 3 weeks","Every 4 weeks"},0)),"Repeat every must be Weekly or Every 2, 3 or 4 weeks. ",""))&amp;IF($D52="","Visit length is missing. ",IF(NOT(ISNUMBER($D52)),"Visit length must be a number of hours. ",IF($D52&lt;0,"Visit length can't be negative. ",IF($D52=0,"Visit length must be more than 0. ",IF(ABS($D52*100-ROUND($D52*100,0))&gt;0.000001,"Visit length: use up to 2 decimals. ",IF($D52&gt;24,"Visit length: 24 hours or less. ",""))))))&amp;IF($E52="","",IF(NOT(ISNUMBER($E52)),"Last visit isn't a date (it's text). ",IF($E52&lt;&gt;INT($E52),"Last visit has a time; enter a date only. ",IF(OR($E52&lt;DATE(2000,1,1),$E52&gt;DATE(2099,12,31)),"Last visit must be from 2000 to 2099. ",IF(AND(IF(ISNUMBER($B52),AND($B52=INT($B52),$B52&gt;=DATE(2000,1,1),$B52&lt;=DATE(2099,12,31)),FALSE()),$E52&lt;$B52),"Last visit is before the first visit. ","")))))))</f>
        <v/>
      </c>
      <c r="J52" s="39" t="n">
        <f aca="false">IF($H52="OK",1,0)</f>
        <v>0</v>
      </c>
      <c r="K52" s="40" t="n">
        <f aca="false">IF($J52=1,$B52,0)</f>
        <v>0</v>
      </c>
      <c r="L52" s="39" t="n">
        <f aca="false">IF($J52=1,7*MATCH($C52&amp;"",{"Weekly","Every 2 weeks","Every 3 weeks","Every 4 weeks"},0),7)</f>
        <v>7</v>
      </c>
      <c r="M52" s="40" t="n">
        <f aca="false">IF($J52=1,IF($E52="",2958465,$E52),0)</f>
        <v>0</v>
      </c>
      <c r="N52" s="39" t="n">
        <f aca="false">IF($J52=1,ROUND($D52*100,0),0)</f>
        <v>0</v>
      </c>
      <c r="O52" s="40" t="str">
        <f aca="false">IF($J52&lt;&gt;1,"",IF(AND((WeekMon+WEEKDAY($K52,2)-1)&gt;=$K52,MOD((WeekMon+WEEKDAY($K52,2)-1)-$K52,$L52)=0,(WeekMon+WEEKDAY($K52,2)-1)&lt;=$M52),(WeekMon+WEEKDAY($K52,2)-1),""))</f>
        <v/>
      </c>
      <c r="P52" s="39" t="str">
        <f aca="false">IF($O52="","",($O52-WeekMon)*1000+ROW()-11)</f>
        <v/>
      </c>
    </row>
    <row r="53" customFormat="false" ht="15" hidden="false" customHeight="false" outlineLevel="0" collapsed="false">
      <c r="A53" s="33"/>
      <c r="B53" s="34"/>
      <c r="C53" s="33"/>
      <c r="D53" s="35"/>
      <c r="E53" s="34"/>
      <c r="F53" s="36" t="str">
        <f aca="false">IF(IF(ISNUMBER($B53),AND($B53=INT($B53),$B53&gt;=DATE(2000,1,1),$B53&lt;=DATE(2099,12,31)),FALSE()),CHOOSE(WEEKDAY($B53,2),"Monday","Tuesday","Wednesday","Thursday","Friday","Saturday","Sunday"),"")</f>
        <v/>
      </c>
      <c r="G53" s="36" t="str">
        <f aca="false">IF($J53&lt;&gt;1,"",MAX(0,INT((MIN(WinStart+83,$M53)-MAX($K53,$K53+ROUNDUP((WinStart-$K53)/$L53,0)*$L53))/$L53)+1))</f>
        <v/>
      </c>
      <c r="H53" s="37" t="str">
        <f aca="false">IF(AND($A53="",$B53="",$C53="",$D53="",$E53=""),"",IF($I53="","OK","Check details"))</f>
        <v/>
      </c>
      <c r="I53" s="38" t="str">
        <f aca="false">IF(AND($A53="",$B53="",$C53="",$D53="",$E53=""),"",TRIM(IF(TRIM($A53&amp;"")="","Label is missing. ","")&amp;IF($B53="","First visit is missing. ",IF(NOT(ISNUMBER($B53)),"First visit isn't a date (it's text). ",IF($B53&lt;&gt;INT($B53),"First visit has a time; enter a date only. ",IF(OR($B53&lt;DATE(2000,1,1),$B53&gt;DATE(2099,12,31)),"First visit must be from 2000 to 2099. ",""))))&amp;IF($C53="","Repeat every is missing. ",IF(ISNA(MATCH($C53&amp;"",{"Weekly","Every 2 weeks","Every 3 weeks","Every 4 weeks"},0)),"Repeat every must be Weekly or Every 2, 3 or 4 weeks. ",""))&amp;IF($D53="","Visit length is missing. ",IF(NOT(ISNUMBER($D53)),"Visit length must be a number of hours. ",IF($D53&lt;0,"Visit length can't be negative. ",IF($D53=0,"Visit length must be more than 0. ",IF(ABS($D53*100-ROUND($D53*100,0))&gt;0.000001,"Visit length: use up to 2 decimals. ",IF($D53&gt;24,"Visit length: 24 hours or less. ",""))))))&amp;IF($E53="","",IF(NOT(ISNUMBER($E53)),"Last visit isn't a date (it's text). ",IF($E53&lt;&gt;INT($E53),"Last visit has a time; enter a date only. ",IF(OR($E53&lt;DATE(2000,1,1),$E53&gt;DATE(2099,12,31)),"Last visit must be from 2000 to 2099. ",IF(AND(IF(ISNUMBER($B53),AND($B53=INT($B53),$B53&gt;=DATE(2000,1,1),$B53&lt;=DATE(2099,12,31)),FALSE()),$E53&lt;$B53),"Last visit is before the first visit. ","")))))))</f>
        <v/>
      </c>
      <c r="J53" s="39" t="n">
        <f aca="false">IF($H53="OK",1,0)</f>
        <v>0</v>
      </c>
      <c r="K53" s="40" t="n">
        <f aca="false">IF($J53=1,$B53,0)</f>
        <v>0</v>
      </c>
      <c r="L53" s="39" t="n">
        <f aca="false">IF($J53=1,7*MATCH($C53&amp;"",{"Weekly","Every 2 weeks","Every 3 weeks","Every 4 weeks"},0),7)</f>
        <v>7</v>
      </c>
      <c r="M53" s="40" t="n">
        <f aca="false">IF($J53=1,IF($E53="",2958465,$E53),0)</f>
        <v>0</v>
      </c>
      <c r="N53" s="39" t="n">
        <f aca="false">IF($J53=1,ROUND($D53*100,0),0)</f>
        <v>0</v>
      </c>
      <c r="O53" s="40" t="str">
        <f aca="false">IF($J53&lt;&gt;1,"",IF(AND((WeekMon+WEEKDAY($K53,2)-1)&gt;=$K53,MOD((WeekMon+WEEKDAY($K53,2)-1)-$K53,$L53)=0,(WeekMon+WEEKDAY($K53,2)-1)&lt;=$M53),(WeekMon+WEEKDAY($K53,2)-1),""))</f>
        <v/>
      </c>
      <c r="P53" s="39" t="str">
        <f aca="false">IF($O53="","",($O53-WeekMon)*1000+ROW()-11)</f>
        <v/>
      </c>
    </row>
    <row r="54" customFormat="false" ht="15" hidden="false" customHeight="false" outlineLevel="0" collapsed="false">
      <c r="A54" s="33"/>
      <c r="B54" s="34"/>
      <c r="C54" s="33"/>
      <c r="D54" s="35"/>
      <c r="E54" s="34"/>
      <c r="F54" s="36" t="str">
        <f aca="false">IF(IF(ISNUMBER($B54),AND($B54=INT($B54),$B54&gt;=DATE(2000,1,1),$B54&lt;=DATE(2099,12,31)),FALSE()),CHOOSE(WEEKDAY($B54,2),"Monday","Tuesday","Wednesday","Thursday","Friday","Saturday","Sunday"),"")</f>
        <v/>
      </c>
      <c r="G54" s="36" t="str">
        <f aca="false">IF($J54&lt;&gt;1,"",MAX(0,INT((MIN(WinStart+83,$M54)-MAX($K54,$K54+ROUNDUP((WinStart-$K54)/$L54,0)*$L54))/$L54)+1))</f>
        <v/>
      </c>
      <c r="H54" s="37" t="str">
        <f aca="false">IF(AND($A54="",$B54="",$C54="",$D54="",$E54=""),"",IF($I54="","OK","Check details"))</f>
        <v/>
      </c>
      <c r="I54" s="38" t="str">
        <f aca="false">IF(AND($A54="",$B54="",$C54="",$D54="",$E54=""),"",TRIM(IF(TRIM($A54&amp;"")="","Label is missing. ","")&amp;IF($B54="","First visit is missing. ",IF(NOT(ISNUMBER($B54)),"First visit isn't a date (it's text). ",IF($B54&lt;&gt;INT($B54),"First visit has a time; enter a date only. ",IF(OR($B54&lt;DATE(2000,1,1),$B54&gt;DATE(2099,12,31)),"First visit must be from 2000 to 2099. ",""))))&amp;IF($C54="","Repeat every is missing. ",IF(ISNA(MATCH($C54&amp;"",{"Weekly","Every 2 weeks","Every 3 weeks","Every 4 weeks"},0)),"Repeat every must be Weekly or Every 2, 3 or 4 weeks. ",""))&amp;IF($D54="","Visit length is missing. ",IF(NOT(ISNUMBER($D54)),"Visit length must be a number of hours. ",IF($D54&lt;0,"Visit length can't be negative. ",IF($D54=0,"Visit length must be more than 0. ",IF(ABS($D54*100-ROUND($D54*100,0))&gt;0.000001,"Visit length: use up to 2 decimals. ",IF($D54&gt;24,"Visit length: 24 hours or less. ",""))))))&amp;IF($E54="","",IF(NOT(ISNUMBER($E54)),"Last visit isn't a date (it's text). ",IF($E54&lt;&gt;INT($E54),"Last visit has a time; enter a date only. ",IF(OR($E54&lt;DATE(2000,1,1),$E54&gt;DATE(2099,12,31)),"Last visit must be from 2000 to 2099. ",IF(AND(IF(ISNUMBER($B54),AND($B54=INT($B54),$B54&gt;=DATE(2000,1,1),$B54&lt;=DATE(2099,12,31)),FALSE()),$E54&lt;$B54),"Last visit is before the first visit. ","")))))))</f>
        <v/>
      </c>
      <c r="J54" s="39" t="n">
        <f aca="false">IF($H54="OK",1,0)</f>
        <v>0</v>
      </c>
      <c r="K54" s="40" t="n">
        <f aca="false">IF($J54=1,$B54,0)</f>
        <v>0</v>
      </c>
      <c r="L54" s="39" t="n">
        <f aca="false">IF($J54=1,7*MATCH($C54&amp;"",{"Weekly","Every 2 weeks","Every 3 weeks","Every 4 weeks"},0),7)</f>
        <v>7</v>
      </c>
      <c r="M54" s="40" t="n">
        <f aca="false">IF($J54=1,IF($E54="",2958465,$E54),0)</f>
        <v>0</v>
      </c>
      <c r="N54" s="39" t="n">
        <f aca="false">IF($J54=1,ROUND($D54*100,0),0)</f>
        <v>0</v>
      </c>
      <c r="O54" s="40" t="str">
        <f aca="false">IF($J54&lt;&gt;1,"",IF(AND((WeekMon+WEEKDAY($K54,2)-1)&gt;=$K54,MOD((WeekMon+WEEKDAY($K54,2)-1)-$K54,$L54)=0,(WeekMon+WEEKDAY($K54,2)-1)&lt;=$M54),(WeekMon+WEEKDAY($K54,2)-1),""))</f>
        <v/>
      </c>
      <c r="P54" s="39" t="str">
        <f aca="false">IF($O54="","",($O54-WeekMon)*1000+ROW()-11)</f>
        <v/>
      </c>
    </row>
    <row r="55" customFormat="false" ht="15" hidden="false" customHeight="false" outlineLevel="0" collapsed="false">
      <c r="A55" s="33"/>
      <c r="B55" s="34"/>
      <c r="C55" s="33"/>
      <c r="D55" s="35"/>
      <c r="E55" s="34"/>
      <c r="F55" s="36" t="str">
        <f aca="false">IF(IF(ISNUMBER($B55),AND($B55=INT($B55),$B55&gt;=DATE(2000,1,1),$B55&lt;=DATE(2099,12,31)),FALSE()),CHOOSE(WEEKDAY($B55,2),"Monday","Tuesday","Wednesday","Thursday","Friday","Saturday","Sunday"),"")</f>
        <v/>
      </c>
      <c r="G55" s="36" t="str">
        <f aca="false">IF($J55&lt;&gt;1,"",MAX(0,INT((MIN(WinStart+83,$M55)-MAX($K55,$K55+ROUNDUP((WinStart-$K55)/$L55,0)*$L55))/$L55)+1))</f>
        <v/>
      </c>
      <c r="H55" s="37" t="str">
        <f aca="false">IF(AND($A55="",$B55="",$C55="",$D55="",$E55=""),"",IF($I55="","OK","Check details"))</f>
        <v/>
      </c>
      <c r="I55" s="38" t="str">
        <f aca="false">IF(AND($A55="",$B55="",$C55="",$D55="",$E55=""),"",TRIM(IF(TRIM($A55&amp;"")="","Label is missing. ","")&amp;IF($B55="","First visit is missing. ",IF(NOT(ISNUMBER($B55)),"First visit isn't a date (it's text). ",IF($B55&lt;&gt;INT($B55),"First visit has a time; enter a date only. ",IF(OR($B55&lt;DATE(2000,1,1),$B55&gt;DATE(2099,12,31)),"First visit must be from 2000 to 2099. ",""))))&amp;IF($C55="","Repeat every is missing. ",IF(ISNA(MATCH($C55&amp;"",{"Weekly","Every 2 weeks","Every 3 weeks","Every 4 weeks"},0)),"Repeat every must be Weekly or Every 2, 3 or 4 weeks. ",""))&amp;IF($D55="","Visit length is missing. ",IF(NOT(ISNUMBER($D55)),"Visit length must be a number of hours. ",IF($D55&lt;0,"Visit length can't be negative. ",IF($D55=0,"Visit length must be more than 0. ",IF(ABS($D55*100-ROUND($D55*100,0))&gt;0.000001,"Visit length: use up to 2 decimals. ",IF($D55&gt;24,"Visit length: 24 hours or less. ",""))))))&amp;IF($E55="","",IF(NOT(ISNUMBER($E55)),"Last visit isn't a date (it's text). ",IF($E55&lt;&gt;INT($E55),"Last visit has a time; enter a date only. ",IF(OR($E55&lt;DATE(2000,1,1),$E55&gt;DATE(2099,12,31)),"Last visit must be from 2000 to 2099. ",IF(AND(IF(ISNUMBER($B55),AND($B55=INT($B55),$B55&gt;=DATE(2000,1,1),$B55&lt;=DATE(2099,12,31)),FALSE()),$E55&lt;$B55),"Last visit is before the first visit. ","")))))))</f>
        <v/>
      </c>
      <c r="J55" s="39" t="n">
        <f aca="false">IF($H55="OK",1,0)</f>
        <v>0</v>
      </c>
      <c r="K55" s="40" t="n">
        <f aca="false">IF($J55=1,$B55,0)</f>
        <v>0</v>
      </c>
      <c r="L55" s="39" t="n">
        <f aca="false">IF($J55=1,7*MATCH($C55&amp;"",{"Weekly","Every 2 weeks","Every 3 weeks","Every 4 weeks"},0),7)</f>
        <v>7</v>
      </c>
      <c r="M55" s="40" t="n">
        <f aca="false">IF($J55=1,IF($E55="",2958465,$E55),0)</f>
        <v>0</v>
      </c>
      <c r="N55" s="39" t="n">
        <f aca="false">IF($J55=1,ROUND($D55*100,0),0)</f>
        <v>0</v>
      </c>
      <c r="O55" s="40" t="str">
        <f aca="false">IF($J55&lt;&gt;1,"",IF(AND((WeekMon+WEEKDAY($K55,2)-1)&gt;=$K55,MOD((WeekMon+WEEKDAY($K55,2)-1)-$K55,$L55)=0,(WeekMon+WEEKDAY($K55,2)-1)&lt;=$M55),(WeekMon+WEEKDAY($K55,2)-1),""))</f>
        <v/>
      </c>
      <c r="P55" s="39" t="str">
        <f aca="false">IF($O55="","",($O55-WeekMon)*1000+ROW()-11)</f>
        <v/>
      </c>
    </row>
    <row r="56" customFormat="false" ht="15" hidden="false" customHeight="false" outlineLevel="0" collapsed="false">
      <c r="A56" s="33"/>
      <c r="B56" s="34"/>
      <c r="C56" s="33"/>
      <c r="D56" s="35"/>
      <c r="E56" s="34"/>
      <c r="F56" s="36" t="str">
        <f aca="false">IF(IF(ISNUMBER($B56),AND($B56=INT($B56),$B56&gt;=DATE(2000,1,1),$B56&lt;=DATE(2099,12,31)),FALSE()),CHOOSE(WEEKDAY($B56,2),"Monday","Tuesday","Wednesday","Thursday","Friday","Saturday","Sunday"),"")</f>
        <v/>
      </c>
      <c r="G56" s="36" t="str">
        <f aca="false">IF($J56&lt;&gt;1,"",MAX(0,INT((MIN(WinStart+83,$M56)-MAX($K56,$K56+ROUNDUP((WinStart-$K56)/$L56,0)*$L56))/$L56)+1))</f>
        <v/>
      </c>
      <c r="H56" s="37" t="str">
        <f aca="false">IF(AND($A56="",$B56="",$C56="",$D56="",$E56=""),"",IF($I56="","OK","Check details"))</f>
        <v/>
      </c>
      <c r="I56" s="38" t="str">
        <f aca="false">IF(AND($A56="",$B56="",$C56="",$D56="",$E56=""),"",TRIM(IF(TRIM($A56&amp;"")="","Label is missing. ","")&amp;IF($B56="","First visit is missing. ",IF(NOT(ISNUMBER($B56)),"First visit isn't a date (it's text). ",IF($B56&lt;&gt;INT($B56),"First visit has a time; enter a date only. ",IF(OR($B56&lt;DATE(2000,1,1),$B56&gt;DATE(2099,12,31)),"First visit must be from 2000 to 2099. ",""))))&amp;IF($C56="","Repeat every is missing. ",IF(ISNA(MATCH($C56&amp;"",{"Weekly","Every 2 weeks","Every 3 weeks","Every 4 weeks"},0)),"Repeat every must be Weekly or Every 2, 3 or 4 weeks. ",""))&amp;IF($D56="","Visit length is missing. ",IF(NOT(ISNUMBER($D56)),"Visit length must be a number of hours. ",IF($D56&lt;0,"Visit length can't be negative. ",IF($D56=0,"Visit length must be more than 0. ",IF(ABS($D56*100-ROUND($D56*100,0))&gt;0.000001,"Visit length: use up to 2 decimals. ",IF($D56&gt;24,"Visit length: 24 hours or less. ",""))))))&amp;IF($E56="","",IF(NOT(ISNUMBER($E56)),"Last visit isn't a date (it's text). ",IF($E56&lt;&gt;INT($E56),"Last visit has a time; enter a date only. ",IF(OR($E56&lt;DATE(2000,1,1),$E56&gt;DATE(2099,12,31)),"Last visit must be from 2000 to 2099. ",IF(AND(IF(ISNUMBER($B56),AND($B56=INT($B56),$B56&gt;=DATE(2000,1,1),$B56&lt;=DATE(2099,12,31)),FALSE()),$E56&lt;$B56),"Last visit is before the first visit. ","")))))))</f>
        <v/>
      </c>
      <c r="J56" s="39" t="n">
        <f aca="false">IF($H56="OK",1,0)</f>
        <v>0</v>
      </c>
      <c r="K56" s="40" t="n">
        <f aca="false">IF($J56=1,$B56,0)</f>
        <v>0</v>
      </c>
      <c r="L56" s="39" t="n">
        <f aca="false">IF($J56=1,7*MATCH($C56&amp;"",{"Weekly","Every 2 weeks","Every 3 weeks","Every 4 weeks"},0),7)</f>
        <v>7</v>
      </c>
      <c r="M56" s="40" t="n">
        <f aca="false">IF($J56=1,IF($E56="",2958465,$E56),0)</f>
        <v>0</v>
      </c>
      <c r="N56" s="39" t="n">
        <f aca="false">IF($J56=1,ROUND($D56*100,0),0)</f>
        <v>0</v>
      </c>
      <c r="O56" s="40" t="str">
        <f aca="false">IF($J56&lt;&gt;1,"",IF(AND((WeekMon+WEEKDAY($K56,2)-1)&gt;=$K56,MOD((WeekMon+WEEKDAY($K56,2)-1)-$K56,$L56)=0,(WeekMon+WEEKDAY($K56,2)-1)&lt;=$M56),(WeekMon+WEEKDAY($K56,2)-1),""))</f>
        <v/>
      </c>
      <c r="P56" s="39" t="str">
        <f aca="false">IF($O56="","",($O56-WeekMon)*1000+ROW()-11)</f>
        <v/>
      </c>
    </row>
    <row r="57" customFormat="false" ht="15" hidden="false" customHeight="false" outlineLevel="0" collapsed="false">
      <c r="A57" s="33"/>
      <c r="B57" s="34"/>
      <c r="C57" s="33"/>
      <c r="D57" s="35"/>
      <c r="E57" s="34"/>
      <c r="F57" s="36" t="str">
        <f aca="false">IF(IF(ISNUMBER($B57),AND($B57=INT($B57),$B57&gt;=DATE(2000,1,1),$B57&lt;=DATE(2099,12,31)),FALSE()),CHOOSE(WEEKDAY($B57,2),"Monday","Tuesday","Wednesday","Thursday","Friday","Saturday","Sunday"),"")</f>
        <v/>
      </c>
      <c r="G57" s="36" t="str">
        <f aca="false">IF($J57&lt;&gt;1,"",MAX(0,INT((MIN(WinStart+83,$M57)-MAX($K57,$K57+ROUNDUP((WinStart-$K57)/$L57,0)*$L57))/$L57)+1))</f>
        <v/>
      </c>
      <c r="H57" s="37" t="str">
        <f aca="false">IF(AND($A57="",$B57="",$C57="",$D57="",$E57=""),"",IF($I57="","OK","Check details"))</f>
        <v/>
      </c>
      <c r="I57" s="38" t="str">
        <f aca="false">IF(AND($A57="",$B57="",$C57="",$D57="",$E57=""),"",TRIM(IF(TRIM($A57&amp;"")="","Label is missing. ","")&amp;IF($B57="","First visit is missing. ",IF(NOT(ISNUMBER($B57)),"First visit isn't a date (it's text). ",IF($B57&lt;&gt;INT($B57),"First visit has a time; enter a date only. ",IF(OR($B57&lt;DATE(2000,1,1),$B57&gt;DATE(2099,12,31)),"First visit must be from 2000 to 2099. ",""))))&amp;IF($C57="","Repeat every is missing. ",IF(ISNA(MATCH($C57&amp;"",{"Weekly","Every 2 weeks","Every 3 weeks","Every 4 weeks"},0)),"Repeat every must be Weekly or Every 2, 3 or 4 weeks. ",""))&amp;IF($D57="","Visit length is missing. ",IF(NOT(ISNUMBER($D57)),"Visit length must be a number of hours. ",IF($D57&lt;0,"Visit length can't be negative. ",IF($D57=0,"Visit length must be more than 0. ",IF(ABS($D57*100-ROUND($D57*100,0))&gt;0.000001,"Visit length: use up to 2 decimals. ",IF($D57&gt;24,"Visit length: 24 hours or less. ",""))))))&amp;IF($E57="","",IF(NOT(ISNUMBER($E57)),"Last visit isn't a date (it's text). ",IF($E57&lt;&gt;INT($E57),"Last visit has a time; enter a date only. ",IF(OR($E57&lt;DATE(2000,1,1),$E57&gt;DATE(2099,12,31)),"Last visit must be from 2000 to 2099. ",IF(AND(IF(ISNUMBER($B57),AND($B57=INT($B57),$B57&gt;=DATE(2000,1,1),$B57&lt;=DATE(2099,12,31)),FALSE()),$E57&lt;$B57),"Last visit is before the first visit. ","")))))))</f>
        <v/>
      </c>
      <c r="J57" s="39" t="n">
        <f aca="false">IF($H57="OK",1,0)</f>
        <v>0</v>
      </c>
      <c r="K57" s="40" t="n">
        <f aca="false">IF($J57=1,$B57,0)</f>
        <v>0</v>
      </c>
      <c r="L57" s="39" t="n">
        <f aca="false">IF($J57=1,7*MATCH($C57&amp;"",{"Weekly","Every 2 weeks","Every 3 weeks","Every 4 weeks"},0),7)</f>
        <v>7</v>
      </c>
      <c r="M57" s="40" t="n">
        <f aca="false">IF($J57=1,IF($E57="",2958465,$E57),0)</f>
        <v>0</v>
      </c>
      <c r="N57" s="39" t="n">
        <f aca="false">IF($J57=1,ROUND($D57*100,0),0)</f>
        <v>0</v>
      </c>
      <c r="O57" s="40" t="str">
        <f aca="false">IF($J57&lt;&gt;1,"",IF(AND((WeekMon+WEEKDAY($K57,2)-1)&gt;=$K57,MOD((WeekMon+WEEKDAY($K57,2)-1)-$K57,$L57)=0,(WeekMon+WEEKDAY($K57,2)-1)&lt;=$M57),(WeekMon+WEEKDAY($K57,2)-1),""))</f>
        <v/>
      </c>
      <c r="P57" s="39" t="str">
        <f aca="false">IF($O57="","",($O57-WeekMon)*1000+ROW()-11)</f>
        <v/>
      </c>
    </row>
    <row r="58" customFormat="false" ht="15" hidden="false" customHeight="false" outlineLevel="0" collapsed="false">
      <c r="A58" s="33"/>
      <c r="B58" s="34"/>
      <c r="C58" s="33"/>
      <c r="D58" s="35"/>
      <c r="E58" s="34"/>
      <c r="F58" s="36" t="str">
        <f aca="false">IF(IF(ISNUMBER($B58),AND($B58=INT($B58),$B58&gt;=DATE(2000,1,1),$B58&lt;=DATE(2099,12,31)),FALSE()),CHOOSE(WEEKDAY($B58,2),"Monday","Tuesday","Wednesday","Thursday","Friday","Saturday","Sunday"),"")</f>
        <v/>
      </c>
      <c r="G58" s="36" t="str">
        <f aca="false">IF($J58&lt;&gt;1,"",MAX(0,INT((MIN(WinStart+83,$M58)-MAX($K58,$K58+ROUNDUP((WinStart-$K58)/$L58,0)*$L58))/$L58)+1))</f>
        <v/>
      </c>
      <c r="H58" s="37" t="str">
        <f aca="false">IF(AND($A58="",$B58="",$C58="",$D58="",$E58=""),"",IF($I58="","OK","Check details"))</f>
        <v/>
      </c>
      <c r="I58" s="38" t="str">
        <f aca="false">IF(AND($A58="",$B58="",$C58="",$D58="",$E58=""),"",TRIM(IF(TRIM($A58&amp;"")="","Label is missing. ","")&amp;IF($B58="","First visit is missing. ",IF(NOT(ISNUMBER($B58)),"First visit isn't a date (it's text). ",IF($B58&lt;&gt;INT($B58),"First visit has a time; enter a date only. ",IF(OR($B58&lt;DATE(2000,1,1),$B58&gt;DATE(2099,12,31)),"First visit must be from 2000 to 2099. ",""))))&amp;IF($C58="","Repeat every is missing. ",IF(ISNA(MATCH($C58&amp;"",{"Weekly","Every 2 weeks","Every 3 weeks","Every 4 weeks"},0)),"Repeat every must be Weekly or Every 2, 3 or 4 weeks. ",""))&amp;IF($D58="","Visit length is missing. ",IF(NOT(ISNUMBER($D58)),"Visit length must be a number of hours. ",IF($D58&lt;0,"Visit length can't be negative. ",IF($D58=0,"Visit length must be more than 0. ",IF(ABS($D58*100-ROUND($D58*100,0))&gt;0.000001,"Visit length: use up to 2 decimals. ",IF($D58&gt;24,"Visit length: 24 hours or less. ",""))))))&amp;IF($E58="","",IF(NOT(ISNUMBER($E58)),"Last visit isn't a date (it's text). ",IF($E58&lt;&gt;INT($E58),"Last visit has a time; enter a date only. ",IF(OR($E58&lt;DATE(2000,1,1),$E58&gt;DATE(2099,12,31)),"Last visit must be from 2000 to 2099. ",IF(AND(IF(ISNUMBER($B58),AND($B58=INT($B58),$B58&gt;=DATE(2000,1,1),$B58&lt;=DATE(2099,12,31)),FALSE()),$E58&lt;$B58),"Last visit is before the first visit. ","")))))))</f>
        <v/>
      </c>
      <c r="J58" s="39" t="n">
        <f aca="false">IF($H58="OK",1,0)</f>
        <v>0</v>
      </c>
      <c r="K58" s="40" t="n">
        <f aca="false">IF($J58=1,$B58,0)</f>
        <v>0</v>
      </c>
      <c r="L58" s="39" t="n">
        <f aca="false">IF($J58=1,7*MATCH($C58&amp;"",{"Weekly","Every 2 weeks","Every 3 weeks","Every 4 weeks"},0),7)</f>
        <v>7</v>
      </c>
      <c r="M58" s="40" t="n">
        <f aca="false">IF($J58=1,IF($E58="",2958465,$E58),0)</f>
        <v>0</v>
      </c>
      <c r="N58" s="39" t="n">
        <f aca="false">IF($J58=1,ROUND($D58*100,0),0)</f>
        <v>0</v>
      </c>
      <c r="O58" s="40" t="str">
        <f aca="false">IF($J58&lt;&gt;1,"",IF(AND((WeekMon+WEEKDAY($K58,2)-1)&gt;=$K58,MOD((WeekMon+WEEKDAY($K58,2)-1)-$K58,$L58)=0,(WeekMon+WEEKDAY($K58,2)-1)&lt;=$M58),(WeekMon+WEEKDAY($K58,2)-1),""))</f>
        <v/>
      </c>
      <c r="P58" s="39" t="str">
        <f aca="false">IF($O58="","",($O58-WeekMon)*1000+ROW()-11)</f>
        <v/>
      </c>
    </row>
    <row r="59" customFormat="false" ht="15" hidden="false" customHeight="false" outlineLevel="0" collapsed="false">
      <c r="A59" s="33"/>
      <c r="B59" s="34"/>
      <c r="C59" s="33"/>
      <c r="D59" s="35"/>
      <c r="E59" s="34"/>
      <c r="F59" s="36" t="str">
        <f aca="false">IF(IF(ISNUMBER($B59),AND($B59=INT($B59),$B59&gt;=DATE(2000,1,1),$B59&lt;=DATE(2099,12,31)),FALSE()),CHOOSE(WEEKDAY($B59,2),"Monday","Tuesday","Wednesday","Thursday","Friday","Saturday","Sunday"),"")</f>
        <v/>
      </c>
      <c r="G59" s="36" t="str">
        <f aca="false">IF($J59&lt;&gt;1,"",MAX(0,INT((MIN(WinStart+83,$M59)-MAX($K59,$K59+ROUNDUP((WinStart-$K59)/$L59,0)*$L59))/$L59)+1))</f>
        <v/>
      </c>
      <c r="H59" s="37" t="str">
        <f aca="false">IF(AND($A59="",$B59="",$C59="",$D59="",$E59=""),"",IF($I59="","OK","Check details"))</f>
        <v/>
      </c>
      <c r="I59" s="38" t="str">
        <f aca="false">IF(AND($A59="",$B59="",$C59="",$D59="",$E59=""),"",TRIM(IF(TRIM($A59&amp;"")="","Label is missing. ","")&amp;IF($B59="","First visit is missing. ",IF(NOT(ISNUMBER($B59)),"First visit isn't a date (it's text). ",IF($B59&lt;&gt;INT($B59),"First visit has a time; enter a date only. ",IF(OR($B59&lt;DATE(2000,1,1),$B59&gt;DATE(2099,12,31)),"First visit must be from 2000 to 2099. ",""))))&amp;IF($C59="","Repeat every is missing. ",IF(ISNA(MATCH($C59&amp;"",{"Weekly","Every 2 weeks","Every 3 weeks","Every 4 weeks"},0)),"Repeat every must be Weekly or Every 2, 3 or 4 weeks. ",""))&amp;IF($D59="","Visit length is missing. ",IF(NOT(ISNUMBER($D59)),"Visit length must be a number of hours. ",IF($D59&lt;0,"Visit length can't be negative. ",IF($D59=0,"Visit length must be more than 0. ",IF(ABS($D59*100-ROUND($D59*100,0))&gt;0.000001,"Visit length: use up to 2 decimals. ",IF($D59&gt;24,"Visit length: 24 hours or less. ",""))))))&amp;IF($E59="","",IF(NOT(ISNUMBER($E59)),"Last visit isn't a date (it's text). ",IF($E59&lt;&gt;INT($E59),"Last visit has a time; enter a date only. ",IF(OR($E59&lt;DATE(2000,1,1),$E59&gt;DATE(2099,12,31)),"Last visit must be from 2000 to 2099. ",IF(AND(IF(ISNUMBER($B59),AND($B59=INT($B59),$B59&gt;=DATE(2000,1,1),$B59&lt;=DATE(2099,12,31)),FALSE()),$E59&lt;$B59),"Last visit is before the first visit. ","")))))))</f>
        <v/>
      </c>
      <c r="J59" s="39" t="n">
        <f aca="false">IF($H59="OK",1,0)</f>
        <v>0</v>
      </c>
      <c r="K59" s="40" t="n">
        <f aca="false">IF($J59=1,$B59,0)</f>
        <v>0</v>
      </c>
      <c r="L59" s="39" t="n">
        <f aca="false">IF($J59=1,7*MATCH($C59&amp;"",{"Weekly","Every 2 weeks","Every 3 weeks","Every 4 weeks"},0),7)</f>
        <v>7</v>
      </c>
      <c r="M59" s="40" t="n">
        <f aca="false">IF($J59=1,IF($E59="",2958465,$E59),0)</f>
        <v>0</v>
      </c>
      <c r="N59" s="39" t="n">
        <f aca="false">IF($J59=1,ROUND($D59*100,0),0)</f>
        <v>0</v>
      </c>
      <c r="O59" s="40" t="str">
        <f aca="false">IF($J59&lt;&gt;1,"",IF(AND((WeekMon+WEEKDAY($K59,2)-1)&gt;=$K59,MOD((WeekMon+WEEKDAY($K59,2)-1)-$K59,$L59)=0,(WeekMon+WEEKDAY($K59,2)-1)&lt;=$M59),(WeekMon+WEEKDAY($K59,2)-1),""))</f>
        <v/>
      </c>
      <c r="P59" s="39" t="str">
        <f aca="false">IF($O59="","",($O59-WeekMon)*1000+ROW()-11)</f>
        <v/>
      </c>
    </row>
    <row r="60" customFormat="false" ht="15" hidden="false" customHeight="false" outlineLevel="0" collapsed="false">
      <c r="A60" s="33"/>
      <c r="B60" s="34"/>
      <c r="C60" s="33"/>
      <c r="D60" s="35"/>
      <c r="E60" s="34"/>
      <c r="F60" s="36" t="str">
        <f aca="false">IF(IF(ISNUMBER($B60),AND($B60=INT($B60),$B60&gt;=DATE(2000,1,1),$B60&lt;=DATE(2099,12,31)),FALSE()),CHOOSE(WEEKDAY($B60,2),"Monday","Tuesday","Wednesday","Thursday","Friday","Saturday","Sunday"),"")</f>
        <v/>
      </c>
      <c r="G60" s="36" t="str">
        <f aca="false">IF($J60&lt;&gt;1,"",MAX(0,INT((MIN(WinStart+83,$M60)-MAX($K60,$K60+ROUNDUP((WinStart-$K60)/$L60,0)*$L60))/$L60)+1))</f>
        <v/>
      </c>
      <c r="H60" s="37" t="str">
        <f aca="false">IF(AND($A60="",$B60="",$C60="",$D60="",$E60=""),"",IF($I60="","OK","Check details"))</f>
        <v/>
      </c>
      <c r="I60" s="38" t="str">
        <f aca="false">IF(AND($A60="",$B60="",$C60="",$D60="",$E60=""),"",TRIM(IF(TRIM($A60&amp;"")="","Label is missing. ","")&amp;IF($B60="","First visit is missing. ",IF(NOT(ISNUMBER($B60)),"First visit isn't a date (it's text). ",IF($B60&lt;&gt;INT($B60),"First visit has a time; enter a date only. ",IF(OR($B60&lt;DATE(2000,1,1),$B60&gt;DATE(2099,12,31)),"First visit must be from 2000 to 2099. ",""))))&amp;IF($C60="","Repeat every is missing. ",IF(ISNA(MATCH($C60&amp;"",{"Weekly","Every 2 weeks","Every 3 weeks","Every 4 weeks"},0)),"Repeat every must be Weekly or Every 2, 3 or 4 weeks. ",""))&amp;IF($D60="","Visit length is missing. ",IF(NOT(ISNUMBER($D60)),"Visit length must be a number of hours. ",IF($D60&lt;0,"Visit length can't be negative. ",IF($D60=0,"Visit length must be more than 0. ",IF(ABS($D60*100-ROUND($D60*100,0))&gt;0.000001,"Visit length: use up to 2 decimals. ",IF($D60&gt;24,"Visit length: 24 hours or less. ",""))))))&amp;IF($E60="","",IF(NOT(ISNUMBER($E60)),"Last visit isn't a date (it's text). ",IF($E60&lt;&gt;INT($E60),"Last visit has a time; enter a date only. ",IF(OR($E60&lt;DATE(2000,1,1),$E60&gt;DATE(2099,12,31)),"Last visit must be from 2000 to 2099. ",IF(AND(IF(ISNUMBER($B60),AND($B60=INT($B60),$B60&gt;=DATE(2000,1,1),$B60&lt;=DATE(2099,12,31)),FALSE()),$E60&lt;$B60),"Last visit is before the first visit. ","")))))))</f>
        <v/>
      </c>
      <c r="J60" s="39" t="n">
        <f aca="false">IF($H60="OK",1,0)</f>
        <v>0</v>
      </c>
      <c r="K60" s="40" t="n">
        <f aca="false">IF($J60=1,$B60,0)</f>
        <v>0</v>
      </c>
      <c r="L60" s="39" t="n">
        <f aca="false">IF($J60=1,7*MATCH($C60&amp;"",{"Weekly","Every 2 weeks","Every 3 weeks","Every 4 weeks"},0),7)</f>
        <v>7</v>
      </c>
      <c r="M60" s="40" t="n">
        <f aca="false">IF($J60=1,IF($E60="",2958465,$E60),0)</f>
        <v>0</v>
      </c>
      <c r="N60" s="39" t="n">
        <f aca="false">IF($J60=1,ROUND($D60*100,0),0)</f>
        <v>0</v>
      </c>
      <c r="O60" s="40" t="str">
        <f aca="false">IF($J60&lt;&gt;1,"",IF(AND((WeekMon+WEEKDAY($K60,2)-1)&gt;=$K60,MOD((WeekMon+WEEKDAY($K60,2)-1)-$K60,$L60)=0,(WeekMon+WEEKDAY($K60,2)-1)&lt;=$M60),(WeekMon+WEEKDAY($K60,2)-1),""))</f>
        <v/>
      </c>
      <c r="P60" s="39" t="str">
        <f aca="false">IF($O60="","",($O60-WeekMon)*1000+ROW()-11)</f>
        <v/>
      </c>
    </row>
    <row r="61" customFormat="false" ht="15" hidden="false" customHeight="false" outlineLevel="0" collapsed="false">
      <c r="A61" s="33"/>
      <c r="B61" s="34"/>
      <c r="C61" s="33"/>
      <c r="D61" s="35"/>
      <c r="E61" s="34"/>
      <c r="F61" s="36" t="str">
        <f aca="false">IF(IF(ISNUMBER($B61),AND($B61=INT($B61),$B61&gt;=DATE(2000,1,1),$B61&lt;=DATE(2099,12,31)),FALSE()),CHOOSE(WEEKDAY($B61,2),"Monday","Tuesday","Wednesday","Thursday","Friday","Saturday","Sunday"),"")</f>
        <v/>
      </c>
      <c r="G61" s="36" t="str">
        <f aca="false">IF($J61&lt;&gt;1,"",MAX(0,INT((MIN(WinStart+83,$M61)-MAX($K61,$K61+ROUNDUP((WinStart-$K61)/$L61,0)*$L61))/$L61)+1))</f>
        <v/>
      </c>
      <c r="H61" s="37" t="str">
        <f aca="false">IF(AND($A61="",$B61="",$C61="",$D61="",$E61=""),"",IF($I61="","OK","Check details"))</f>
        <v/>
      </c>
      <c r="I61" s="38" t="str">
        <f aca="false">IF(AND($A61="",$B61="",$C61="",$D61="",$E61=""),"",TRIM(IF(TRIM($A61&amp;"")="","Label is missing. ","")&amp;IF($B61="","First visit is missing. ",IF(NOT(ISNUMBER($B61)),"First visit isn't a date (it's text). ",IF($B61&lt;&gt;INT($B61),"First visit has a time; enter a date only. ",IF(OR($B61&lt;DATE(2000,1,1),$B61&gt;DATE(2099,12,31)),"First visit must be from 2000 to 2099. ",""))))&amp;IF($C61="","Repeat every is missing. ",IF(ISNA(MATCH($C61&amp;"",{"Weekly","Every 2 weeks","Every 3 weeks","Every 4 weeks"},0)),"Repeat every must be Weekly or Every 2, 3 or 4 weeks. ",""))&amp;IF($D61="","Visit length is missing. ",IF(NOT(ISNUMBER($D61)),"Visit length must be a number of hours. ",IF($D61&lt;0,"Visit length can't be negative. ",IF($D61=0,"Visit length must be more than 0. ",IF(ABS($D61*100-ROUND($D61*100,0))&gt;0.000001,"Visit length: use up to 2 decimals. ",IF($D61&gt;24,"Visit length: 24 hours or less. ",""))))))&amp;IF($E61="","",IF(NOT(ISNUMBER($E61)),"Last visit isn't a date (it's text). ",IF($E61&lt;&gt;INT($E61),"Last visit has a time; enter a date only. ",IF(OR($E61&lt;DATE(2000,1,1),$E61&gt;DATE(2099,12,31)),"Last visit must be from 2000 to 2099. ",IF(AND(IF(ISNUMBER($B61),AND($B61=INT($B61),$B61&gt;=DATE(2000,1,1),$B61&lt;=DATE(2099,12,31)),FALSE()),$E61&lt;$B61),"Last visit is before the first visit. ","")))))))</f>
        <v/>
      </c>
      <c r="J61" s="39" t="n">
        <f aca="false">IF($H61="OK",1,0)</f>
        <v>0</v>
      </c>
      <c r="K61" s="40" t="n">
        <f aca="false">IF($J61=1,$B61,0)</f>
        <v>0</v>
      </c>
      <c r="L61" s="39" t="n">
        <f aca="false">IF($J61=1,7*MATCH($C61&amp;"",{"Weekly","Every 2 weeks","Every 3 weeks","Every 4 weeks"},0),7)</f>
        <v>7</v>
      </c>
      <c r="M61" s="40" t="n">
        <f aca="false">IF($J61=1,IF($E61="",2958465,$E61),0)</f>
        <v>0</v>
      </c>
      <c r="N61" s="39" t="n">
        <f aca="false">IF($J61=1,ROUND($D61*100,0),0)</f>
        <v>0</v>
      </c>
      <c r="O61" s="40" t="str">
        <f aca="false">IF($J61&lt;&gt;1,"",IF(AND((WeekMon+WEEKDAY($K61,2)-1)&gt;=$K61,MOD((WeekMon+WEEKDAY($K61,2)-1)-$K61,$L61)=0,(WeekMon+WEEKDAY($K61,2)-1)&lt;=$M61),(WeekMon+WEEKDAY($K61,2)-1),""))</f>
        <v/>
      </c>
      <c r="P61" s="39" t="str">
        <f aca="false">IF($O61="","",($O61-WeekMon)*1000+ROW()-11)</f>
        <v/>
      </c>
    </row>
    <row r="62" customFormat="false" ht="15" hidden="false" customHeight="false" outlineLevel="0" collapsed="false">
      <c r="A62" s="33"/>
      <c r="B62" s="34"/>
      <c r="C62" s="33"/>
      <c r="D62" s="35"/>
      <c r="E62" s="34"/>
      <c r="F62" s="36" t="str">
        <f aca="false">IF(IF(ISNUMBER($B62),AND($B62=INT($B62),$B62&gt;=DATE(2000,1,1),$B62&lt;=DATE(2099,12,31)),FALSE()),CHOOSE(WEEKDAY($B62,2),"Monday","Tuesday","Wednesday","Thursday","Friday","Saturday","Sunday"),"")</f>
        <v/>
      </c>
      <c r="G62" s="36" t="str">
        <f aca="false">IF($J62&lt;&gt;1,"",MAX(0,INT((MIN(WinStart+83,$M62)-MAX($K62,$K62+ROUNDUP((WinStart-$K62)/$L62,0)*$L62))/$L62)+1))</f>
        <v/>
      </c>
      <c r="H62" s="37" t="str">
        <f aca="false">IF(AND($A62="",$B62="",$C62="",$D62="",$E62=""),"",IF($I62="","OK","Check details"))</f>
        <v/>
      </c>
      <c r="I62" s="38" t="str">
        <f aca="false">IF(AND($A62="",$B62="",$C62="",$D62="",$E62=""),"",TRIM(IF(TRIM($A62&amp;"")="","Label is missing. ","")&amp;IF($B62="","First visit is missing. ",IF(NOT(ISNUMBER($B62)),"First visit isn't a date (it's text). ",IF($B62&lt;&gt;INT($B62),"First visit has a time; enter a date only. ",IF(OR($B62&lt;DATE(2000,1,1),$B62&gt;DATE(2099,12,31)),"First visit must be from 2000 to 2099. ",""))))&amp;IF($C62="","Repeat every is missing. ",IF(ISNA(MATCH($C62&amp;"",{"Weekly","Every 2 weeks","Every 3 weeks","Every 4 weeks"},0)),"Repeat every must be Weekly or Every 2, 3 or 4 weeks. ",""))&amp;IF($D62="","Visit length is missing. ",IF(NOT(ISNUMBER($D62)),"Visit length must be a number of hours. ",IF($D62&lt;0,"Visit length can't be negative. ",IF($D62=0,"Visit length must be more than 0. ",IF(ABS($D62*100-ROUND($D62*100,0))&gt;0.000001,"Visit length: use up to 2 decimals. ",IF($D62&gt;24,"Visit length: 24 hours or less. ",""))))))&amp;IF($E62="","",IF(NOT(ISNUMBER($E62)),"Last visit isn't a date (it's text). ",IF($E62&lt;&gt;INT($E62),"Last visit has a time; enter a date only. ",IF(OR($E62&lt;DATE(2000,1,1),$E62&gt;DATE(2099,12,31)),"Last visit must be from 2000 to 2099. ",IF(AND(IF(ISNUMBER($B62),AND($B62=INT($B62),$B62&gt;=DATE(2000,1,1),$B62&lt;=DATE(2099,12,31)),FALSE()),$E62&lt;$B62),"Last visit is before the first visit. ","")))))))</f>
        <v/>
      </c>
      <c r="J62" s="39" t="n">
        <f aca="false">IF($H62="OK",1,0)</f>
        <v>0</v>
      </c>
      <c r="K62" s="40" t="n">
        <f aca="false">IF($J62=1,$B62,0)</f>
        <v>0</v>
      </c>
      <c r="L62" s="39" t="n">
        <f aca="false">IF($J62=1,7*MATCH($C62&amp;"",{"Weekly","Every 2 weeks","Every 3 weeks","Every 4 weeks"},0),7)</f>
        <v>7</v>
      </c>
      <c r="M62" s="40" t="n">
        <f aca="false">IF($J62=1,IF($E62="",2958465,$E62),0)</f>
        <v>0</v>
      </c>
      <c r="N62" s="39" t="n">
        <f aca="false">IF($J62=1,ROUND($D62*100,0),0)</f>
        <v>0</v>
      </c>
      <c r="O62" s="40" t="str">
        <f aca="false">IF($J62&lt;&gt;1,"",IF(AND((WeekMon+WEEKDAY($K62,2)-1)&gt;=$K62,MOD((WeekMon+WEEKDAY($K62,2)-1)-$K62,$L62)=0,(WeekMon+WEEKDAY($K62,2)-1)&lt;=$M62),(WeekMon+WEEKDAY($K62,2)-1),""))</f>
        <v/>
      </c>
      <c r="P62" s="39" t="str">
        <f aca="false">IF($O62="","",($O62-WeekMon)*1000+ROW()-11)</f>
        <v/>
      </c>
    </row>
    <row r="63" customFormat="false" ht="15" hidden="false" customHeight="false" outlineLevel="0" collapsed="false">
      <c r="A63" s="33"/>
      <c r="B63" s="34"/>
      <c r="C63" s="33"/>
      <c r="D63" s="35"/>
      <c r="E63" s="34"/>
      <c r="F63" s="36" t="str">
        <f aca="false">IF(IF(ISNUMBER($B63),AND($B63=INT($B63),$B63&gt;=DATE(2000,1,1),$B63&lt;=DATE(2099,12,31)),FALSE()),CHOOSE(WEEKDAY($B63,2),"Monday","Tuesday","Wednesday","Thursday","Friday","Saturday","Sunday"),"")</f>
        <v/>
      </c>
      <c r="G63" s="36" t="str">
        <f aca="false">IF($J63&lt;&gt;1,"",MAX(0,INT((MIN(WinStart+83,$M63)-MAX($K63,$K63+ROUNDUP((WinStart-$K63)/$L63,0)*$L63))/$L63)+1))</f>
        <v/>
      </c>
      <c r="H63" s="37" t="str">
        <f aca="false">IF(AND($A63="",$B63="",$C63="",$D63="",$E63=""),"",IF($I63="","OK","Check details"))</f>
        <v/>
      </c>
      <c r="I63" s="38" t="str">
        <f aca="false">IF(AND($A63="",$B63="",$C63="",$D63="",$E63=""),"",TRIM(IF(TRIM($A63&amp;"")="","Label is missing. ","")&amp;IF($B63="","First visit is missing. ",IF(NOT(ISNUMBER($B63)),"First visit isn't a date (it's text). ",IF($B63&lt;&gt;INT($B63),"First visit has a time; enter a date only. ",IF(OR($B63&lt;DATE(2000,1,1),$B63&gt;DATE(2099,12,31)),"First visit must be from 2000 to 2099. ",""))))&amp;IF($C63="","Repeat every is missing. ",IF(ISNA(MATCH($C63&amp;"",{"Weekly","Every 2 weeks","Every 3 weeks","Every 4 weeks"},0)),"Repeat every must be Weekly or Every 2, 3 or 4 weeks. ",""))&amp;IF($D63="","Visit length is missing. ",IF(NOT(ISNUMBER($D63)),"Visit length must be a number of hours. ",IF($D63&lt;0,"Visit length can't be negative. ",IF($D63=0,"Visit length must be more than 0. ",IF(ABS($D63*100-ROUND($D63*100,0))&gt;0.000001,"Visit length: use up to 2 decimals. ",IF($D63&gt;24,"Visit length: 24 hours or less. ",""))))))&amp;IF($E63="","",IF(NOT(ISNUMBER($E63)),"Last visit isn't a date (it's text). ",IF($E63&lt;&gt;INT($E63),"Last visit has a time; enter a date only. ",IF(OR($E63&lt;DATE(2000,1,1),$E63&gt;DATE(2099,12,31)),"Last visit must be from 2000 to 2099. ",IF(AND(IF(ISNUMBER($B63),AND($B63=INT($B63),$B63&gt;=DATE(2000,1,1),$B63&lt;=DATE(2099,12,31)),FALSE()),$E63&lt;$B63),"Last visit is before the first visit. ","")))))))</f>
        <v/>
      </c>
      <c r="J63" s="39" t="n">
        <f aca="false">IF($H63="OK",1,0)</f>
        <v>0</v>
      </c>
      <c r="K63" s="40" t="n">
        <f aca="false">IF($J63=1,$B63,0)</f>
        <v>0</v>
      </c>
      <c r="L63" s="39" t="n">
        <f aca="false">IF($J63=1,7*MATCH($C63&amp;"",{"Weekly","Every 2 weeks","Every 3 weeks","Every 4 weeks"},0),7)</f>
        <v>7</v>
      </c>
      <c r="M63" s="40" t="n">
        <f aca="false">IF($J63=1,IF($E63="",2958465,$E63),0)</f>
        <v>0</v>
      </c>
      <c r="N63" s="39" t="n">
        <f aca="false">IF($J63=1,ROUND($D63*100,0),0)</f>
        <v>0</v>
      </c>
      <c r="O63" s="40" t="str">
        <f aca="false">IF($J63&lt;&gt;1,"",IF(AND((WeekMon+WEEKDAY($K63,2)-1)&gt;=$K63,MOD((WeekMon+WEEKDAY($K63,2)-1)-$K63,$L63)=0,(WeekMon+WEEKDAY($K63,2)-1)&lt;=$M63),(WeekMon+WEEKDAY($K63,2)-1),""))</f>
        <v/>
      </c>
      <c r="P63" s="39" t="str">
        <f aca="false">IF($O63="","",($O63-WeekMon)*1000+ROW()-11)</f>
        <v/>
      </c>
    </row>
    <row r="64" customFormat="false" ht="15" hidden="false" customHeight="false" outlineLevel="0" collapsed="false">
      <c r="A64" s="33"/>
      <c r="B64" s="34"/>
      <c r="C64" s="33"/>
      <c r="D64" s="35"/>
      <c r="E64" s="34"/>
      <c r="F64" s="36" t="str">
        <f aca="false">IF(IF(ISNUMBER($B64),AND($B64=INT($B64),$B64&gt;=DATE(2000,1,1),$B64&lt;=DATE(2099,12,31)),FALSE()),CHOOSE(WEEKDAY($B64,2),"Monday","Tuesday","Wednesday","Thursday","Friday","Saturday","Sunday"),"")</f>
        <v/>
      </c>
      <c r="G64" s="36" t="str">
        <f aca="false">IF($J64&lt;&gt;1,"",MAX(0,INT((MIN(WinStart+83,$M64)-MAX($K64,$K64+ROUNDUP((WinStart-$K64)/$L64,0)*$L64))/$L64)+1))</f>
        <v/>
      </c>
      <c r="H64" s="37" t="str">
        <f aca="false">IF(AND($A64="",$B64="",$C64="",$D64="",$E64=""),"",IF($I64="","OK","Check details"))</f>
        <v/>
      </c>
      <c r="I64" s="38" t="str">
        <f aca="false">IF(AND($A64="",$B64="",$C64="",$D64="",$E64=""),"",TRIM(IF(TRIM($A64&amp;"")="","Label is missing. ","")&amp;IF($B64="","First visit is missing. ",IF(NOT(ISNUMBER($B64)),"First visit isn't a date (it's text). ",IF($B64&lt;&gt;INT($B64),"First visit has a time; enter a date only. ",IF(OR($B64&lt;DATE(2000,1,1),$B64&gt;DATE(2099,12,31)),"First visit must be from 2000 to 2099. ",""))))&amp;IF($C64="","Repeat every is missing. ",IF(ISNA(MATCH($C64&amp;"",{"Weekly","Every 2 weeks","Every 3 weeks","Every 4 weeks"},0)),"Repeat every must be Weekly or Every 2, 3 or 4 weeks. ",""))&amp;IF($D64="","Visit length is missing. ",IF(NOT(ISNUMBER($D64)),"Visit length must be a number of hours. ",IF($D64&lt;0,"Visit length can't be negative. ",IF($D64=0,"Visit length must be more than 0. ",IF(ABS($D64*100-ROUND($D64*100,0))&gt;0.000001,"Visit length: use up to 2 decimals. ",IF($D64&gt;24,"Visit length: 24 hours or less. ",""))))))&amp;IF($E64="","",IF(NOT(ISNUMBER($E64)),"Last visit isn't a date (it's text). ",IF($E64&lt;&gt;INT($E64),"Last visit has a time; enter a date only. ",IF(OR($E64&lt;DATE(2000,1,1),$E64&gt;DATE(2099,12,31)),"Last visit must be from 2000 to 2099. ",IF(AND(IF(ISNUMBER($B64),AND($B64=INT($B64),$B64&gt;=DATE(2000,1,1),$B64&lt;=DATE(2099,12,31)),FALSE()),$E64&lt;$B64),"Last visit is before the first visit. ","")))))))</f>
        <v/>
      </c>
      <c r="J64" s="39" t="n">
        <f aca="false">IF($H64="OK",1,0)</f>
        <v>0</v>
      </c>
      <c r="K64" s="40" t="n">
        <f aca="false">IF($J64=1,$B64,0)</f>
        <v>0</v>
      </c>
      <c r="L64" s="39" t="n">
        <f aca="false">IF($J64=1,7*MATCH($C64&amp;"",{"Weekly","Every 2 weeks","Every 3 weeks","Every 4 weeks"},0),7)</f>
        <v>7</v>
      </c>
      <c r="M64" s="40" t="n">
        <f aca="false">IF($J64=1,IF($E64="",2958465,$E64),0)</f>
        <v>0</v>
      </c>
      <c r="N64" s="39" t="n">
        <f aca="false">IF($J64=1,ROUND($D64*100,0),0)</f>
        <v>0</v>
      </c>
      <c r="O64" s="40" t="str">
        <f aca="false">IF($J64&lt;&gt;1,"",IF(AND((WeekMon+WEEKDAY($K64,2)-1)&gt;=$K64,MOD((WeekMon+WEEKDAY($K64,2)-1)-$K64,$L64)=0,(WeekMon+WEEKDAY($K64,2)-1)&lt;=$M64),(WeekMon+WEEKDAY($K64,2)-1),""))</f>
        <v/>
      </c>
      <c r="P64" s="39" t="str">
        <f aca="false">IF($O64="","",($O64-WeekMon)*1000+ROW()-11)</f>
        <v/>
      </c>
    </row>
    <row r="65" customFormat="false" ht="15" hidden="false" customHeight="false" outlineLevel="0" collapsed="false">
      <c r="A65" s="33"/>
      <c r="B65" s="34"/>
      <c r="C65" s="33"/>
      <c r="D65" s="35"/>
      <c r="E65" s="34"/>
      <c r="F65" s="36" t="str">
        <f aca="false">IF(IF(ISNUMBER($B65),AND($B65=INT($B65),$B65&gt;=DATE(2000,1,1),$B65&lt;=DATE(2099,12,31)),FALSE()),CHOOSE(WEEKDAY($B65,2),"Monday","Tuesday","Wednesday","Thursday","Friday","Saturday","Sunday"),"")</f>
        <v/>
      </c>
      <c r="G65" s="36" t="str">
        <f aca="false">IF($J65&lt;&gt;1,"",MAX(0,INT((MIN(WinStart+83,$M65)-MAX($K65,$K65+ROUNDUP((WinStart-$K65)/$L65,0)*$L65))/$L65)+1))</f>
        <v/>
      </c>
      <c r="H65" s="37" t="str">
        <f aca="false">IF(AND($A65="",$B65="",$C65="",$D65="",$E65=""),"",IF($I65="","OK","Check details"))</f>
        <v/>
      </c>
      <c r="I65" s="38" t="str">
        <f aca="false">IF(AND($A65="",$B65="",$C65="",$D65="",$E65=""),"",TRIM(IF(TRIM($A65&amp;"")="","Label is missing. ","")&amp;IF($B65="","First visit is missing. ",IF(NOT(ISNUMBER($B65)),"First visit isn't a date (it's text). ",IF($B65&lt;&gt;INT($B65),"First visit has a time; enter a date only. ",IF(OR($B65&lt;DATE(2000,1,1),$B65&gt;DATE(2099,12,31)),"First visit must be from 2000 to 2099. ",""))))&amp;IF($C65="","Repeat every is missing. ",IF(ISNA(MATCH($C65&amp;"",{"Weekly","Every 2 weeks","Every 3 weeks","Every 4 weeks"},0)),"Repeat every must be Weekly or Every 2, 3 or 4 weeks. ",""))&amp;IF($D65="","Visit length is missing. ",IF(NOT(ISNUMBER($D65)),"Visit length must be a number of hours. ",IF($D65&lt;0,"Visit length can't be negative. ",IF($D65=0,"Visit length must be more than 0. ",IF(ABS($D65*100-ROUND($D65*100,0))&gt;0.000001,"Visit length: use up to 2 decimals. ",IF($D65&gt;24,"Visit length: 24 hours or less. ",""))))))&amp;IF($E65="","",IF(NOT(ISNUMBER($E65)),"Last visit isn't a date (it's text). ",IF($E65&lt;&gt;INT($E65),"Last visit has a time; enter a date only. ",IF(OR($E65&lt;DATE(2000,1,1),$E65&gt;DATE(2099,12,31)),"Last visit must be from 2000 to 2099. ",IF(AND(IF(ISNUMBER($B65),AND($B65=INT($B65),$B65&gt;=DATE(2000,1,1),$B65&lt;=DATE(2099,12,31)),FALSE()),$E65&lt;$B65),"Last visit is before the first visit. ","")))))))</f>
        <v/>
      </c>
      <c r="J65" s="39" t="n">
        <f aca="false">IF($H65="OK",1,0)</f>
        <v>0</v>
      </c>
      <c r="K65" s="40" t="n">
        <f aca="false">IF($J65=1,$B65,0)</f>
        <v>0</v>
      </c>
      <c r="L65" s="39" t="n">
        <f aca="false">IF($J65=1,7*MATCH($C65&amp;"",{"Weekly","Every 2 weeks","Every 3 weeks","Every 4 weeks"},0),7)</f>
        <v>7</v>
      </c>
      <c r="M65" s="40" t="n">
        <f aca="false">IF($J65=1,IF($E65="",2958465,$E65),0)</f>
        <v>0</v>
      </c>
      <c r="N65" s="39" t="n">
        <f aca="false">IF($J65=1,ROUND($D65*100,0),0)</f>
        <v>0</v>
      </c>
      <c r="O65" s="40" t="str">
        <f aca="false">IF($J65&lt;&gt;1,"",IF(AND((WeekMon+WEEKDAY($K65,2)-1)&gt;=$K65,MOD((WeekMon+WEEKDAY($K65,2)-1)-$K65,$L65)=0,(WeekMon+WEEKDAY($K65,2)-1)&lt;=$M65),(WeekMon+WEEKDAY($K65,2)-1),""))</f>
        <v/>
      </c>
      <c r="P65" s="39" t="str">
        <f aca="false">IF($O65="","",($O65-WeekMon)*1000+ROW()-11)</f>
        <v/>
      </c>
    </row>
    <row r="66" customFormat="false" ht="15" hidden="false" customHeight="false" outlineLevel="0" collapsed="false">
      <c r="A66" s="33"/>
      <c r="B66" s="34"/>
      <c r="C66" s="33"/>
      <c r="D66" s="35"/>
      <c r="E66" s="34"/>
      <c r="F66" s="36" t="str">
        <f aca="false">IF(IF(ISNUMBER($B66),AND($B66=INT($B66),$B66&gt;=DATE(2000,1,1),$B66&lt;=DATE(2099,12,31)),FALSE()),CHOOSE(WEEKDAY($B66,2),"Monday","Tuesday","Wednesday","Thursday","Friday","Saturday","Sunday"),"")</f>
        <v/>
      </c>
      <c r="G66" s="36" t="str">
        <f aca="false">IF($J66&lt;&gt;1,"",MAX(0,INT((MIN(WinStart+83,$M66)-MAX($K66,$K66+ROUNDUP((WinStart-$K66)/$L66,0)*$L66))/$L66)+1))</f>
        <v/>
      </c>
      <c r="H66" s="37" t="str">
        <f aca="false">IF(AND($A66="",$B66="",$C66="",$D66="",$E66=""),"",IF($I66="","OK","Check details"))</f>
        <v/>
      </c>
      <c r="I66" s="38" t="str">
        <f aca="false">IF(AND($A66="",$B66="",$C66="",$D66="",$E66=""),"",TRIM(IF(TRIM($A66&amp;"")="","Label is missing. ","")&amp;IF($B66="","First visit is missing. ",IF(NOT(ISNUMBER($B66)),"First visit isn't a date (it's text). ",IF($B66&lt;&gt;INT($B66),"First visit has a time; enter a date only. ",IF(OR($B66&lt;DATE(2000,1,1),$B66&gt;DATE(2099,12,31)),"First visit must be from 2000 to 2099. ",""))))&amp;IF($C66="","Repeat every is missing. ",IF(ISNA(MATCH($C66&amp;"",{"Weekly","Every 2 weeks","Every 3 weeks","Every 4 weeks"},0)),"Repeat every must be Weekly or Every 2, 3 or 4 weeks. ",""))&amp;IF($D66="","Visit length is missing. ",IF(NOT(ISNUMBER($D66)),"Visit length must be a number of hours. ",IF($D66&lt;0,"Visit length can't be negative. ",IF($D66=0,"Visit length must be more than 0. ",IF(ABS($D66*100-ROUND($D66*100,0))&gt;0.000001,"Visit length: use up to 2 decimals. ",IF($D66&gt;24,"Visit length: 24 hours or less. ",""))))))&amp;IF($E66="","",IF(NOT(ISNUMBER($E66)),"Last visit isn't a date (it's text). ",IF($E66&lt;&gt;INT($E66),"Last visit has a time; enter a date only. ",IF(OR($E66&lt;DATE(2000,1,1),$E66&gt;DATE(2099,12,31)),"Last visit must be from 2000 to 2099. ",IF(AND(IF(ISNUMBER($B66),AND($B66=INT($B66),$B66&gt;=DATE(2000,1,1),$B66&lt;=DATE(2099,12,31)),FALSE()),$E66&lt;$B66),"Last visit is before the first visit. ","")))))))</f>
        <v/>
      </c>
      <c r="J66" s="39" t="n">
        <f aca="false">IF($H66="OK",1,0)</f>
        <v>0</v>
      </c>
      <c r="K66" s="40" t="n">
        <f aca="false">IF($J66=1,$B66,0)</f>
        <v>0</v>
      </c>
      <c r="L66" s="39" t="n">
        <f aca="false">IF($J66=1,7*MATCH($C66&amp;"",{"Weekly","Every 2 weeks","Every 3 weeks","Every 4 weeks"},0),7)</f>
        <v>7</v>
      </c>
      <c r="M66" s="40" t="n">
        <f aca="false">IF($J66=1,IF($E66="",2958465,$E66),0)</f>
        <v>0</v>
      </c>
      <c r="N66" s="39" t="n">
        <f aca="false">IF($J66=1,ROUND($D66*100,0),0)</f>
        <v>0</v>
      </c>
      <c r="O66" s="40" t="str">
        <f aca="false">IF($J66&lt;&gt;1,"",IF(AND((WeekMon+WEEKDAY($K66,2)-1)&gt;=$K66,MOD((WeekMon+WEEKDAY($K66,2)-1)-$K66,$L66)=0,(WeekMon+WEEKDAY($K66,2)-1)&lt;=$M66),(WeekMon+WEEKDAY($K66,2)-1),""))</f>
        <v/>
      </c>
      <c r="P66" s="39" t="str">
        <f aca="false">IF($O66="","",($O66-WeekMon)*1000+ROW()-11)</f>
        <v/>
      </c>
    </row>
    <row r="67" customFormat="false" ht="15" hidden="false" customHeight="false" outlineLevel="0" collapsed="false">
      <c r="A67" s="33"/>
      <c r="B67" s="34"/>
      <c r="C67" s="33"/>
      <c r="D67" s="35"/>
      <c r="E67" s="34"/>
      <c r="F67" s="36" t="str">
        <f aca="false">IF(IF(ISNUMBER($B67),AND($B67=INT($B67),$B67&gt;=DATE(2000,1,1),$B67&lt;=DATE(2099,12,31)),FALSE()),CHOOSE(WEEKDAY($B67,2),"Monday","Tuesday","Wednesday","Thursday","Friday","Saturday","Sunday"),"")</f>
        <v/>
      </c>
      <c r="G67" s="36" t="str">
        <f aca="false">IF($J67&lt;&gt;1,"",MAX(0,INT((MIN(WinStart+83,$M67)-MAX($K67,$K67+ROUNDUP((WinStart-$K67)/$L67,0)*$L67))/$L67)+1))</f>
        <v/>
      </c>
      <c r="H67" s="37" t="str">
        <f aca="false">IF(AND($A67="",$B67="",$C67="",$D67="",$E67=""),"",IF($I67="","OK","Check details"))</f>
        <v/>
      </c>
      <c r="I67" s="38" t="str">
        <f aca="false">IF(AND($A67="",$B67="",$C67="",$D67="",$E67=""),"",TRIM(IF(TRIM($A67&amp;"")="","Label is missing. ","")&amp;IF($B67="","First visit is missing. ",IF(NOT(ISNUMBER($B67)),"First visit isn't a date (it's text). ",IF($B67&lt;&gt;INT($B67),"First visit has a time; enter a date only. ",IF(OR($B67&lt;DATE(2000,1,1),$B67&gt;DATE(2099,12,31)),"First visit must be from 2000 to 2099. ",""))))&amp;IF($C67="","Repeat every is missing. ",IF(ISNA(MATCH($C67&amp;"",{"Weekly","Every 2 weeks","Every 3 weeks","Every 4 weeks"},0)),"Repeat every must be Weekly or Every 2, 3 or 4 weeks. ",""))&amp;IF($D67="","Visit length is missing. ",IF(NOT(ISNUMBER($D67)),"Visit length must be a number of hours. ",IF($D67&lt;0,"Visit length can't be negative. ",IF($D67=0,"Visit length must be more than 0. ",IF(ABS($D67*100-ROUND($D67*100,0))&gt;0.000001,"Visit length: use up to 2 decimals. ",IF($D67&gt;24,"Visit length: 24 hours or less. ",""))))))&amp;IF($E67="","",IF(NOT(ISNUMBER($E67)),"Last visit isn't a date (it's text). ",IF($E67&lt;&gt;INT($E67),"Last visit has a time; enter a date only. ",IF(OR($E67&lt;DATE(2000,1,1),$E67&gt;DATE(2099,12,31)),"Last visit must be from 2000 to 2099. ",IF(AND(IF(ISNUMBER($B67),AND($B67=INT($B67),$B67&gt;=DATE(2000,1,1),$B67&lt;=DATE(2099,12,31)),FALSE()),$E67&lt;$B67),"Last visit is before the first visit. ","")))))))</f>
        <v/>
      </c>
      <c r="J67" s="39" t="n">
        <f aca="false">IF($H67="OK",1,0)</f>
        <v>0</v>
      </c>
      <c r="K67" s="40" t="n">
        <f aca="false">IF($J67=1,$B67,0)</f>
        <v>0</v>
      </c>
      <c r="L67" s="39" t="n">
        <f aca="false">IF($J67=1,7*MATCH($C67&amp;"",{"Weekly","Every 2 weeks","Every 3 weeks","Every 4 weeks"},0),7)</f>
        <v>7</v>
      </c>
      <c r="M67" s="40" t="n">
        <f aca="false">IF($J67=1,IF($E67="",2958465,$E67),0)</f>
        <v>0</v>
      </c>
      <c r="N67" s="39" t="n">
        <f aca="false">IF($J67=1,ROUND($D67*100,0),0)</f>
        <v>0</v>
      </c>
      <c r="O67" s="40" t="str">
        <f aca="false">IF($J67&lt;&gt;1,"",IF(AND((WeekMon+WEEKDAY($K67,2)-1)&gt;=$K67,MOD((WeekMon+WEEKDAY($K67,2)-1)-$K67,$L67)=0,(WeekMon+WEEKDAY($K67,2)-1)&lt;=$M67),(WeekMon+WEEKDAY($K67,2)-1),""))</f>
        <v/>
      </c>
      <c r="P67" s="39" t="str">
        <f aca="false">IF($O67="","",($O67-WeekMon)*1000+ROW()-11)</f>
        <v/>
      </c>
    </row>
    <row r="68" customFormat="false" ht="15" hidden="false" customHeight="false" outlineLevel="0" collapsed="false">
      <c r="A68" s="33"/>
      <c r="B68" s="34"/>
      <c r="C68" s="33"/>
      <c r="D68" s="35"/>
      <c r="E68" s="34"/>
      <c r="F68" s="36" t="str">
        <f aca="false">IF(IF(ISNUMBER($B68),AND($B68=INT($B68),$B68&gt;=DATE(2000,1,1),$B68&lt;=DATE(2099,12,31)),FALSE()),CHOOSE(WEEKDAY($B68,2),"Monday","Tuesday","Wednesday","Thursday","Friday","Saturday","Sunday"),"")</f>
        <v/>
      </c>
      <c r="G68" s="36" t="str">
        <f aca="false">IF($J68&lt;&gt;1,"",MAX(0,INT((MIN(WinStart+83,$M68)-MAX($K68,$K68+ROUNDUP((WinStart-$K68)/$L68,0)*$L68))/$L68)+1))</f>
        <v/>
      </c>
      <c r="H68" s="37" t="str">
        <f aca="false">IF(AND($A68="",$B68="",$C68="",$D68="",$E68=""),"",IF($I68="","OK","Check details"))</f>
        <v/>
      </c>
      <c r="I68" s="38" t="str">
        <f aca="false">IF(AND($A68="",$B68="",$C68="",$D68="",$E68=""),"",TRIM(IF(TRIM($A68&amp;"")="","Label is missing. ","")&amp;IF($B68="","First visit is missing. ",IF(NOT(ISNUMBER($B68)),"First visit isn't a date (it's text). ",IF($B68&lt;&gt;INT($B68),"First visit has a time; enter a date only. ",IF(OR($B68&lt;DATE(2000,1,1),$B68&gt;DATE(2099,12,31)),"First visit must be from 2000 to 2099. ",""))))&amp;IF($C68="","Repeat every is missing. ",IF(ISNA(MATCH($C68&amp;"",{"Weekly","Every 2 weeks","Every 3 weeks","Every 4 weeks"},0)),"Repeat every must be Weekly or Every 2, 3 or 4 weeks. ",""))&amp;IF($D68="","Visit length is missing. ",IF(NOT(ISNUMBER($D68)),"Visit length must be a number of hours. ",IF($D68&lt;0,"Visit length can't be negative. ",IF($D68=0,"Visit length must be more than 0. ",IF(ABS($D68*100-ROUND($D68*100,0))&gt;0.000001,"Visit length: use up to 2 decimals. ",IF($D68&gt;24,"Visit length: 24 hours or less. ",""))))))&amp;IF($E68="","",IF(NOT(ISNUMBER($E68)),"Last visit isn't a date (it's text). ",IF($E68&lt;&gt;INT($E68),"Last visit has a time; enter a date only. ",IF(OR($E68&lt;DATE(2000,1,1),$E68&gt;DATE(2099,12,31)),"Last visit must be from 2000 to 2099. ",IF(AND(IF(ISNUMBER($B68),AND($B68=INT($B68),$B68&gt;=DATE(2000,1,1),$B68&lt;=DATE(2099,12,31)),FALSE()),$E68&lt;$B68),"Last visit is before the first visit. ","")))))))</f>
        <v/>
      </c>
      <c r="J68" s="39" t="n">
        <f aca="false">IF($H68="OK",1,0)</f>
        <v>0</v>
      </c>
      <c r="K68" s="40" t="n">
        <f aca="false">IF($J68=1,$B68,0)</f>
        <v>0</v>
      </c>
      <c r="L68" s="39" t="n">
        <f aca="false">IF($J68=1,7*MATCH($C68&amp;"",{"Weekly","Every 2 weeks","Every 3 weeks","Every 4 weeks"},0),7)</f>
        <v>7</v>
      </c>
      <c r="M68" s="40" t="n">
        <f aca="false">IF($J68=1,IF($E68="",2958465,$E68),0)</f>
        <v>0</v>
      </c>
      <c r="N68" s="39" t="n">
        <f aca="false">IF($J68=1,ROUND($D68*100,0),0)</f>
        <v>0</v>
      </c>
      <c r="O68" s="40" t="str">
        <f aca="false">IF($J68&lt;&gt;1,"",IF(AND((WeekMon+WEEKDAY($K68,2)-1)&gt;=$K68,MOD((WeekMon+WEEKDAY($K68,2)-1)-$K68,$L68)=0,(WeekMon+WEEKDAY($K68,2)-1)&lt;=$M68),(WeekMon+WEEKDAY($K68,2)-1),""))</f>
        <v/>
      </c>
      <c r="P68" s="39" t="str">
        <f aca="false">IF($O68="","",($O68-WeekMon)*1000+ROW()-11)</f>
        <v/>
      </c>
    </row>
    <row r="69" customFormat="false" ht="15" hidden="false" customHeight="false" outlineLevel="0" collapsed="false">
      <c r="A69" s="33"/>
      <c r="B69" s="34"/>
      <c r="C69" s="33"/>
      <c r="D69" s="35"/>
      <c r="E69" s="34"/>
      <c r="F69" s="36" t="str">
        <f aca="false">IF(IF(ISNUMBER($B69),AND($B69=INT($B69),$B69&gt;=DATE(2000,1,1),$B69&lt;=DATE(2099,12,31)),FALSE()),CHOOSE(WEEKDAY($B69,2),"Monday","Tuesday","Wednesday","Thursday","Friday","Saturday","Sunday"),"")</f>
        <v/>
      </c>
      <c r="G69" s="36" t="str">
        <f aca="false">IF($J69&lt;&gt;1,"",MAX(0,INT((MIN(WinStart+83,$M69)-MAX($K69,$K69+ROUNDUP((WinStart-$K69)/$L69,0)*$L69))/$L69)+1))</f>
        <v/>
      </c>
      <c r="H69" s="37" t="str">
        <f aca="false">IF(AND($A69="",$B69="",$C69="",$D69="",$E69=""),"",IF($I69="","OK","Check details"))</f>
        <v/>
      </c>
      <c r="I69" s="38" t="str">
        <f aca="false">IF(AND($A69="",$B69="",$C69="",$D69="",$E69=""),"",TRIM(IF(TRIM($A69&amp;"")="","Label is missing. ","")&amp;IF($B69="","First visit is missing. ",IF(NOT(ISNUMBER($B69)),"First visit isn't a date (it's text). ",IF($B69&lt;&gt;INT($B69),"First visit has a time; enter a date only. ",IF(OR($B69&lt;DATE(2000,1,1),$B69&gt;DATE(2099,12,31)),"First visit must be from 2000 to 2099. ",""))))&amp;IF($C69="","Repeat every is missing. ",IF(ISNA(MATCH($C69&amp;"",{"Weekly","Every 2 weeks","Every 3 weeks","Every 4 weeks"},0)),"Repeat every must be Weekly or Every 2, 3 or 4 weeks. ",""))&amp;IF($D69="","Visit length is missing. ",IF(NOT(ISNUMBER($D69)),"Visit length must be a number of hours. ",IF($D69&lt;0,"Visit length can't be negative. ",IF($D69=0,"Visit length must be more than 0. ",IF(ABS($D69*100-ROUND($D69*100,0))&gt;0.000001,"Visit length: use up to 2 decimals. ",IF($D69&gt;24,"Visit length: 24 hours or less. ",""))))))&amp;IF($E69="","",IF(NOT(ISNUMBER($E69)),"Last visit isn't a date (it's text). ",IF($E69&lt;&gt;INT($E69),"Last visit has a time; enter a date only. ",IF(OR($E69&lt;DATE(2000,1,1),$E69&gt;DATE(2099,12,31)),"Last visit must be from 2000 to 2099. ",IF(AND(IF(ISNUMBER($B69),AND($B69=INT($B69),$B69&gt;=DATE(2000,1,1),$B69&lt;=DATE(2099,12,31)),FALSE()),$E69&lt;$B69),"Last visit is before the first visit. ","")))))))</f>
        <v/>
      </c>
      <c r="J69" s="39" t="n">
        <f aca="false">IF($H69="OK",1,0)</f>
        <v>0</v>
      </c>
      <c r="K69" s="40" t="n">
        <f aca="false">IF($J69=1,$B69,0)</f>
        <v>0</v>
      </c>
      <c r="L69" s="39" t="n">
        <f aca="false">IF($J69=1,7*MATCH($C69&amp;"",{"Weekly","Every 2 weeks","Every 3 weeks","Every 4 weeks"},0),7)</f>
        <v>7</v>
      </c>
      <c r="M69" s="40" t="n">
        <f aca="false">IF($J69=1,IF($E69="",2958465,$E69),0)</f>
        <v>0</v>
      </c>
      <c r="N69" s="39" t="n">
        <f aca="false">IF($J69=1,ROUND($D69*100,0),0)</f>
        <v>0</v>
      </c>
      <c r="O69" s="40" t="str">
        <f aca="false">IF($J69&lt;&gt;1,"",IF(AND((WeekMon+WEEKDAY($K69,2)-1)&gt;=$K69,MOD((WeekMon+WEEKDAY($K69,2)-1)-$K69,$L69)=0,(WeekMon+WEEKDAY($K69,2)-1)&lt;=$M69),(WeekMon+WEEKDAY($K69,2)-1),""))</f>
        <v/>
      </c>
      <c r="P69" s="39" t="str">
        <f aca="false">IF($O69="","",($O69-WeekMon)*1000+ROW()-11)</f>
        <v/>
      </c>
    </row>
    <row r="70" customFormat="false" ht="15" hidden="false" customHeight="false" outlineLevel="0" collapsed="false">
      <c r="A70" s="33"/>
      <c r="B70" s="34"/>
      <c r="C70" s="33"/>
      <c r="D70" s="35"/>
      <c r="E70" s="34"/>
      <c r="F70" s="36" t="str">
        <f aca="false">IF(IF(ISNUMBER($B70),AND($B70=INT($B70),$B70&gt;=DATE(2000,1,1),$B70&lt;=DATE(2099,12,31)),FALSE()),CHOOSE(WEEKDAY($B70,2),"Monday","Tuesday","Wednesday","Thursday","Friday","Saturday","Sunday"),"")</f>
        <v/>
      </c>
      <c r="G70" s="36" t="str">
        <f aca="false">IF($J70&lt;&gt;1,"",MAX(0,INT((MIN(WinStart+83,$M70)-MAX($K70,$K70+ROUNDUP((WinStart-$K70)/$L70,0)*$L70))/$L70)+1))</f>
        <v/>
      </c>
      <c r="H70" s="37" t="str">
        <f aca="false">IF(AND($A70="",$B70="",$C70="",$D70="",$E70=""),"",IF($I70="","OK","Check details"))</f>
        <v/>
      </c>
      <c r="I70" s="38" t="str">
        <f aca="false">IF(AND($A70="",$B70="",$C70="",$D70="",$E70=""),"",TRIM(IF(TRIM($A70&amp;"")="","Label is missing. ","")&amp;IF($B70="","First visit is missing. ",IF(NOT(ISNUMBER($B70)),"First visit isn't a date (it's text). ",IF($B70&lt;&gt;INT($B70),"First visit has a time; enter a date only. ",IF(OR($B70&lt;DATE(2000,1,1),$B70&gt;DATE(2099,12,31)),"First visit must be from 2000 to 2099. ",""))))&amp;IF($C70="","Repeat every is missing. ",IF(ISNA(MATCH($C70&amp;"",{"Weekly","Every 2 weeks","Every 3 weeks","Every 4 weeks"},0)),"Repeat every must be Weekly or Every 2, 3 or 4 weeks. ",""))&amp;IF($D70="","Visit length is missing. ",IF(NOT(ISNUMBER($D70)),"Visit length must be a number of hours. ",IF($D70&lt;0,"Visit length can't be negative. ",IF($D70=0,"Visit length must be more than 0. ",IF(ABS($D70*100-ROUND($D70*100,0))&gt;0.000001,"Visit length: use up to 2 decimals. ",IF($D70&gt;24,"Visit length: 24 hours or less. ",""))))))&amp;IF($E70="","",IF(NOT(ISNUMBER($E70)),"Last visit isn't a date (it's text). ",IF($E70&lt;&gt;INT($E70),"Last visit has a time; enter a date only. ",IF(OR($E70&lt;DATE(2000,1,1),$E70&gt;DATE(2099,12,31)),"Last visit must be from 2000 to 2099. ",IF(AND(IF(ISNUMBER($B70),AND($B70=INT($B70),$B70&gt;=DATE(2000,1,1),$B70&lt;=DATE(2099,12,31)),FALSE()),$E70&lt;$B70),"Last visit is before the first visit. ","")))))))</f>
        <v/>
      </c>
      <c r="J70" s="39" t="n">
        <f aca="false">IF($H70="OK",1,0)</f>
        <v>0</v>
      </c>
      <c r="K70" s="40" t="n">
        <f aca="false">IF($J70=1,$B70,0)</f>
        <v>0</v>
      </c>
      <c r="L70" s="39" t="n">
        <f aca="false">IF($J70=1,7*MATCH($C70&amp;"",{"Weekly","Every 2 weeks","Every 3 weeks","Every 4 weeks"},0),7)</f>
        <v>7</v>
      </c>
      <c r="M70" s="40" t="n">
        <f aca="false">IF($J70=1,IF($E70="",2958465,$E70),0)</f>
        <v>0</v>
      </c>
      <c r="N70" s="39" t="n">
        <f aca="false">IF($J70=1,ROUND($D70*100,0),0)</f>
        <v>0</v>
      </c>
      <c r="O70" s="40" t="str">
        <f aca="false">IF($J70&lt;&gt;1,"",IF(AND((WeekMon+WEEKDAY($K70,2)-1)&gt;=$K70,MOD((WeekMon+WEEKDAY($K70,2)-1)-$K70,$L70)=0,(WeekMon+WEEKDAY($K70,2)-1)&lt;=$M70),(WeekMon+WEEKDAY($K70,2)-1),""))</f>
        <v/>
      </c>
      <c r="P70" s="39" t="str">
        <f aca="false">IF($O70="","",($O70-WeekMon)*1000+ROW()-11)</f>
        <v/>
      </c>
    </row>
    <row r="71" customFormat="false" ht="15" hidden="false" customHeight="false" outlineLevel="0" collapsed="false">
      <c r="A71" s="33"/>
      <c r="B71" s="34"/>
      <c r="C71" s="33"/>
      <c r="D71" s="35"/>
      <c r="E71" s="34"/>
      <c r="F71" s="36" t="str">
        <f aca="false">IF(IF(ISNUMBER($B71),AND($B71=INT($B71),$B71&gt;=DATE(2000,1,1),$B71&lt;=DATE(2099,12,31)),FALSE()),CHOOSE(WEEKDAY($B71,2),"Monday","Tuesday","Wednesday","Thursday","Friday","Saturday","Sunday"),"")</f>
        <v/>
      </c>
      <c r="G71" s="36" t="str">
        <f aca="false">IF($J71&lt;&gt;1,"",MAX(0,INT((MIN(WinStart+83,$M71)-MAX($K71,$K71+ROUNDUP((WinStart-$K71)/$L71,0)*$L71))/$L71)+1))</f>
        <v/>
      </c>
      <c r="H71" s="37" t="str">
        <f aca="false">IF(AND($A71="",$B71="",$C71="",$D71="",$E71=""),"",IF($I71="","OK","Check details"))</f>
        <v/>
      </c>
      <c r="I71" s="38" t="str">
        <f aca="false">IF(AND($A71="",$B71="",$C71="",$D71="",$E71=""),"",TRIM(IF(TRIM($A71&amp;"")="","Label is missing. ","")&amp;IF($B71="","First visit is missing. ",IF(NOT(ISNUMBER($B71)),"First visit isn't a date (it's text). ",IF($B71&lt;&gt;INT($B71),"First visit has a time; enter a date only. ",IF(OR($B71&lt;DATE(2000,1,1),$B71&gt;DATE(2099,12,31)),"First visit must be from 2000 to 2099. ",""))))&amp;IF($C71="","Repeat every is missing. ",IF(ISNA(MATCH($C71&amp;"",{"Weekly","Every 2 weeks","Every 3 weeks","Every 4 weeks"},0)),"Repeat every must be Weekly or Every 2, 3 or 4 weeks. ",""))&amp;IF($D71="","Visit length is missing. ",IF(NOT(ISNUMBER($D71)),"Visit length must be a number of hours. ",IF($D71&lt;0,"Visit length can't be negative. ",IF($D71=0,"Visit length must be more than 0. ",IF(ABS($D71*100-ROUND($D71*100,0))&gt;0.000001,"Visit length: use up to 2 decimals. ",IF($D71&gt;24,"Visit length: 24 hours or less. ",""))))))&amp;IF($E71="","",IF(NOT(ISNUMBER($E71)),"Last visit isn't a date (it's text). ",IF($E71&lt;&gt;INT($E71),"Last visit has a time; enter a date only. ",IF(OR($E71&lt;DATE(2000,1,1),$E71&gt;DATE(2099,12,31)),"Last visit must be from 2000 to 2099. ",IF(AND(IF(ISNUMBER($B71),AND($B71=INT($B71),$B71&gt;=DATE(2000,1,1),$B71&lt;=DATE(2099,12,31)),FALSE()),$E71&lt;$B71),"Last visit is before the first visit. ","")))))))</f>
        <v/>
      </c>
      <c r="J71" s="39" t="n">
        <f aca="false">IF($H71="OK",1,0)</f>
        <v>0</v>
      </c>
      <c r="K71" s="40" t="n">
        <f aca="false">IF($J71=1,$B71,0)</f>
        <v>0</v>
      </c>
      <c r="L71" s="39" t="n">
        <f aca="false">IF($J71=1,7*MATCH($C71&amp;"",{"Weekly","Every 2 weeks","Every 3 weeks","Every 4 weeks"},0),7)</f>
        <v>7</v>
      </c>
      <c r="M71" s="40" t="n">
        <f aca="false">IF($J71=1,IF($E71="",2958465,$E71),0)</f>
        <v>0</v>
      </c>
      <c r="N71" s="39" t="n">
        <f aca="false">IF($J71=1,ROUND($D71*100,0),0)</f>
        <v>0</v>
      </c>
      <c r="O71" s="40" t="str">
        <f aca="false">IF($J71&lt;&gt;1,"",IF(AND((WeekMon+WEEKDAY($K71,2)-1)&gt;=$K71,MOD((WeekMon+WEEKDAY($K71,2)-1)-$K71,$L71)=0,(WeekMon+WEEKDAY($K71,2)-1)&lt;=$M71),(WeekMon+WEEKDAY($K71,2)-1),""))</f>
        <v/>
      </c>
      <c r="P71" s="39" t="str">
        <f aca="false">IF($O71="","",($O71-WeekMon)*1000+ROW()-11)</f>
        <v/>
      </c>
    </row>
    <row r="72" customFormat="false" ht="15" hidden="false" customHeight="false" outlineLevel="0" collapsed="false">
      <c r="A72" s="33"/>
      <c r="B72" s="34"/>
      <c r="C72" s="33"/>
      <c r="D72" s="35"/>
      <c r="E72" s="34"/>
      <c r="F72" s="36" t="str">
        <f aca="false">IF(IF(ISNUMBER($B72),AND($B72=INT($B72),$B72&gt;=DATE(2000,1,1),$B72&lt;=DATE(2099,12,31)),FALSE()),CHOOSE(WEEKDAY($B72,2),"Monday","Tuesday","Wednesday","Thursday","Friday","Saturday","Sunday"),"")</f>
        <v/>
      </c>
      <c r="G72" s="36" t="str">
        <f aca="false">IF($J72&lt;&gt;1,"",MAX(0,INT((MIN(WinStart+83,$M72)-MAX($K72,$K72+ROUNDUP((WinStart-$K72)/$L72,0)*$L72))/$L72)+1))</f>
        <v/>
      </c>
      <c r="H72" s="37" t="str">
        <f aca="false">IF(AND($A72="",$B72="",$C72="",$D72="",$E72=""),"",IF($I72="","OK","Check details"))</f>
        <v/>
      </c>
      <c r="I72" s="38" t="str">
        <f aca="false">IF(AND($A72="",$B72="",$C72="",$D72="",$E72=""),"",TRIM(IF(TRIM($A72&amp;"")="","Label is missing. ","")&amp;IF($B72="","First visit is missing. ",IF(NOT(ISNUMBER($B72)),"First visit isn't a date (it's text). ",IF($B72&lt;&gt;INT($B72),"First visit has a time; enter a date only. ",IF(OR($B72&lt;DATE(2000,1,1),$B72&gt;DATE(2099,12,31)),"First visit must be from 2000 to 2099. ",""))))&amp;IF($C72="","Repeat every is missing. ",IF(ISNA(MATCH($C72&amp;"",{"Weekly","Every 2 weeks","Every 3 weeks","Every 4 weeks"},0)),"Repeat every must be Weekly or Every 2, 3 or 4 weeks. ",""))&amp;IF($D72="","Visit length is missing. ",IF(NOT(ISNUMBER($D72)),"Visit length must be a number of hours. ",IF($D72&lt;0,"Visit length can't be negative. ",IF($D72=0,"Visit length must be more than 0. ",IF(ABS($D72*100-ROUND($D72*100,0))&gt;0.000001,"Visit length: use up to 2 decimals. ",IF($D72&gt;24,"Visit length: 24 hours or less. ",""))))))&amp;IF($E72="","",IF(NOT(ISNUMBER($E72)),"Last visit isn't a date (it's text). ",IF($E72&lt;&gt;INT($E72),"Last visit has a time; enter a date only. ",IF(OR($E72&lt;DATE(2000,1,1),$E72&gt;DATE(2099,12,31)),"Last visit must be from 2000 to 2099. ",IF(AND(IF(ISNUMBER($B72),AND($B72=INT($B72),$B72&gt;=DATE(2000,1,1),$B72&lt;=DATE(2099,12,31)),FALSE()),$E72&lt;$B72),"Last visit is before the first visit. ","")))))))</f>
        <v/>
      </c>
      <c r="J72" s="39" t="n">
        <f aca="false">IF($H72="OK",1,0)</f>
        <v>0</v>
      </c>
      <c r="K72" s="40" t="n">
        <f aca="false">IF($J72=1,$B72,0)</f>
        <v>0</v>
      </c>
      <c r="L72" s="39" t="n">
        <f aca="false">IF($J72=1,7*MATCH($C72&amp;"",{"Weekly","Every 2 weeks","Every 3 weeks","Every 4 weeks"},0),7)</f>
        <v>7</v>
      </c>
      <c r="M72" s="40" t="n">
        <f aca="false">IF($J72=1,IF($E72="",2958465,$E72),0)</f>
        <v>0</v>
      </c>
      <c r="N72" s="39" t="n">
        <f aca="false">IF($J72=1,ROUND($D72*100,0),0)</f>
        <v>0</v>
      </c>
      <c r="O72" s="40" t="str">
        <f aca="false">IF($J72&lt;&gt;1,"",IF(AND((WeekMon+WEEKDAY($K72,2)-1)&gt;=$K72,MOD((WeekMon+WEEKDAY($K72,2)-1)-$K72,$L72)=0,(WeekMon+WEEKDAY($K72,2)-1)&lt;=$M72),(WeekMon+WEEKDAY($K72,2)-1),""))</f>
        <v/>
      </c>
      <c r="P72" s="39" t="str">
        <f aca="false">IF($O72="","",($O72-WeekMon)*1000+ROW()-11)</f>
        <v/>
      </c>
    </row>
    <row r="73" customFormat="false" ht="15" hidden="false" customHeight="false" outlineLevel="0" collapsed="false">
      <c r="A73" s="33"/>
      <c r="B73" s="34"/>
      <c r="C73" s="33"/>
      <c r="D73" s="35"/>
      <c r="E73" s="34"/>
      <c r="F73" s="36" t="str">
        <f aca="false">IF(IF(ISNUMBER($B73),AND($B73=INT($B73),$B73&gt;=DATE(2000,1,1),$B73&lt;=DATE(2099,12,31)),FALSE()),CHOOSE(WEEKDAY($B73,2),"Monday","Tuesday","Wednesday","Thursday","Friday","Saturday","Sunday"),"")</f>
        <v/>
      </c>
      <c r="G73" s="36" t="str">
        <f aca="false">IF($J73&lt;&gt;1,"",MAX(0,INT((MIN(WinStart+83,$M73)-MAX($K73,$K73+ROUNDUP((WinStart-$K73)/$L73,0)*$L73))/$L73)+1))</f>
        <v/>
      </c>
      <c r="H73" s="37" t="str">
        <f aca="false">IF(AND($A73="",$B73="",$C73="",$D73="",$E73=""),"",IF($I73="","OK","Check details"))</f>
        <v/>
      </c>
      <c r="I73" s="38" t="str">
        <f aca="false">IF(AND($A73="",$B73="",$C73="",$D73="",$E73=""),"",TRIM(IF(TRIM($A73&amp;"")="","Label is missing. ","")&amp;IF($B73="","First visit is missing. ",IF(NOT(ISNUMBER($B73)),"First visit isn't a date (it's text). ",IF($B73&lt;&gt;INT($B73),"First visit has a time; enter a date only. ",IF(OR($B73&lt;DATE(2000,1,1),$B73&gt;DATE(2099,12,31)),"First visit must be from 2000 to 2099. ",""))))&amp;IF($C73="","Repeat every is missing. ",IF(ISNA(MATCH($C73&amp;"",{"Weekly","Every 2 weeks","Every 3 weeks","Every 4 weeks"},0)),"Repeat every must be Weekly or Every 2, 3 or 4 weeks. ",""))&amp;IF($D73="","Visit length is missing. ",IF(NOT(ISNUMBER($D73)),"Visit length must be a number of hours. ",IF($D73&lt;0,"Visit length can't be negative. ",IF($D73=0,"Visit length must be more than 0. ",IF(ABS($D73*100-ROUND($D73*100,0))&gt;0.000001,"Visit length: use up to 2 decimals. ",IF($D73&gt;24,"Visit length: 24 hours or less. ",""))))))&amp;IF($E73="","",IF(NOT(ISNUMBER($E73)),"Last visit isn't a date (it's text). ",IF($E73&lt;&gt;INT($E73),"Last visit has a time; enter a date only. ",IF(OR($E73&lt;DATE(2000,1,1),$E73&gt;DATE(2099,12,31)),"Last visit must be from 2000 to 2099. ",IF(AND(IF(ISNUMBER($B73),AND($B73=INT($B73),$B73&gt;=DATE(2000,1,1),$B73&lt;=DATE(2099,12,31)),FALSE()),$E73&lt;$B73),"Last visit is before the first visit. ","")))))))</f>
        <v/>
      </c>
      <c r="J73" s="39" t="n">
        <f aca="false">IF($H73="OK",1,0)</f>
        <v>0</v>
      </c>
      <c r="K73" s="40" t="n">
        <f aca="false">IF($J73=1,$B73,0)</f>
        <v>0</v>
      </c>
      <c r="L73" s="39" t="n">
        <f aca="false">IF($J73=1,7*MATCH($C73&amp;"",{"Weekly","Every 2 weeks","Every 3 weeks","Every 4 weeks"},0),7)</f>
        <v>7</v>
      </c>
      <c r="M73" s="40" t="n">
        <f aca="false">IF($J73=1,IF($E73="",2958465,$E73),0)</f>
        <v>0</v>
      </c>
      <c r="N73" s="39" t="n">
        <f aca="false">IF($J73=1,ROUND($D73*100,0),0)</f>
        <v>0</v>
      </c>
      <c r="O73" s="40" t="str">
        <f aca="false">IF($J73&lt;&gt;1,"",IF(AND((WeekMon+WEEKDAY($K73,2)-1)&gt;=$K73,MOD((WeekMon+WEEKDAY($K73,2)-1)-$K73,$L73)=0,(WeekMon+WEEKDAY($K73,2)-1)&lt;=$M73),(WeekMon+WEEKDAY($K73,2)-1),""))</f>
        <v/>
      </c>
      <c r="P73" s="39" t="str">
        <f aca="false">IF($O73="","",($O73-WeekMon)*1000+ROW()-11)</f>
        <v/>
      </c>
    </row>
    <row r="74" customFormat="false" ht="15" hidden="false" customHeight="false" outlineLevel="0" collapsed="false">
      <c r="A74" s="33"/>
      <c r="B74" s="34"/>
      <c r="C74" s="33"/>
      <c r="D74" s="35"/>
      <c r="E74" s="34"/>
      <c r="F74" s="36" t="str">
        <f aca="false">IF(IF(ISNUMBER($B74),AND($B74=INT($B74),$B74&gt;=DATE(2000,1,1),$B74&lt;=DATE(2099,12,31)),FALSE()),CHOOSE(WEEKDAY($B74,2),"Monday","Tuesday","Wednesday","Thursday","Friday","Saturday","Sunday"),"")</f>
        <v/>
      </c>
      <c r="G74" s="36" t="str">
        <f aca="false">IF($J74&lt;&gt;1,"",MAX(0,INT((MIN(WinStart+83,$M74)-MAX($K74,$K74+ROUNDUP((WinStart-$K74)/$L74,0)*$L74))/$L74)+1))</f>
        <v/>
      </c>
      <c r="H74" s="37" t="str">
        <f aca="false">IF(AND($A74="",$B74="",$C74="",$D74="",$E74=""),"",IF($I74="","OK","Check details"))</f>
        <v/>
      </c>
      <c r="I74" s="38" t="str">
        <f aca="false">IF(AND($A74="",$B74="",$C74="",$D74="",$E74=""),"",TRIM(IF(TRIM($A74&amp;"")="","Label is missing. ","")&amp;IF($B74="","First visit is missing. ",IF(NOT(ISNUMBER($B74)),"First visit isn't a date (it's text). ",IF($B74&lt;&gt;INT($B74),"First visit has a time; enter a date only. ",IF(OR($B74&lt;DATE(2000,1,1),$B74&gt;DATE(2099,12,31)),"First visit must be from 2000 to 2099. ",""))))&amp;IF($C74="","Repeat every is missing. ",IF(ISNA(MATCH($C74&amp;"",{"Weekly","Every 2 weeks","Every 3 weeks","Every 4 weeks"},0)),"Repeat every must be Weekly or Every 2, 3 or 4 weeks. ",""))&amp;IF($D74="","Visit length is missing. ",IF(NOT(ISNUMBER($D74)),"Visit length must be a number of hours. ",IF($D74&lt;0,"Visit length can't be negative. ",IF($D74=0,"Visit length must be more than 0. ",IF(ABS($D74*100-ROUND($D74*100,0))&gt;0.000001,"Visit length: use up to 2 decimals. ",IF($D74&gt;24,"Visit length: 24 hours or less. ",""))))))&amp;IF($E74="","",IF(NOT(ISNUMBER($E74)),"Last visit isn't a date (it's text). ",IF($E74&lt;&gt;INT($E74),"Last visit has a time; enter a date only. ",IF(OR($E74&lt;DATE(2000,1,1),$E74&gt;DATE(2099,12,31)),"Last visit must be from 2000 to 2099. ",IF(AND(IF(ISNUMBER($B74),AND($B74=INT($B74),$B74&gt;=DATE(2000,1,1),$B74&lt;=DATE(2099,12,31)),FALSE()),$E74&lt;$B74),"Last visit is before the first visit. ","")))))))</f>
        <v/>
      </c>
      <c r="J74" s="39" t="n">
        <f aca="false">IF($H74="OK",1,0)</f>
        <v>0</v>
      </c>
      <c r="K74" s="40" t="n">
        <f aca="false">IF($J74=1,$B74,0)</f>
        <v>0</v>
      </c>
      <c r="L74" s="39" t="n">
        <f aca="false">IF($J74=1,7*MATCH($C74&amp;"",{"Weekly","Every 2 weeks","Every 3 weeks","Every 4 weeks"},0),7)</f>
        <v>7</v>
      </c>
      <c r="M74" s="40" t="n">
        <f aca="false">IF($J74=1,IF($E74="",2958465,$E74),0)</f>
        <v>0</v>
      </c>
      <c r="N74" s="39" t="n">
        <f aca="false">IF($J74=1,ROUND($D74*100,0),0)</f>
        <v>0</v>
      </c>
      <c r="O74" s="40" t="str">
        <f aca="false">IF($J74&lt;&gt;1,"",IF(AND((WeekMon+WEEKDAY($K74,2)-1)&gt;=$K74,MOD((WeekMon+WEEKDAY($K74,2)-1)-$K74,$L74)=0,(WeekMon+WEEKDAY($K74,2)-1)&lt;=$M74),(WeekMon+WEEKDAY($K74,2)-1),""))</f>
        <v/>
      </c>
      <c r="P74" s="39" t="str">
        <f aca="false">IF($O74="","",($O74-WeekMon)*1000+ROW()-11)</f>
        <v/>
      </c>
    </row>
    <row r="75" customFormat="false" ht="15" hidden="false" customHeight="false" outlineLevel="0" collapsed="false">
      <c r="A75" s="33"/>
      <c r="B75" s="34"/>
      <c r="C75" s="33"/>
      <c r="D75" s="35"/>
      <c r="E75" s="34"/>
      <c r="F75" s="36" t="str">
        <f aca="false">IF(IF(ISNUMBER($B75),AND($B75=INT($B75),$B75&gt;=DATE(2000,1,1),$B75&lt;=DATE(2099,12,31)),FALSE()),CHOOSE(WEEKDAY($B75,2),"Monday","Tuesday","Wednesday","Thursday","Friday","Saturday","Sunday"),"")</f>
        <v/>
      </c>
      <c r="G75" s="36" t="str">
        <f aca="false">IF($J75&lt;&gt;1,"",MAX(0,INT((MIN(WinStart+83,$M75)-MAX($K75,$K75+ROUNDUP((WinStart-$K75)/$L75,0)*$L75))/$L75)+1))</f>
        <v/>
      </c>
      <c r="H75" s="37" t="str">
        <f aca="false">IF(AND($A75="",$B75="",$C75="",$D75="",$E75=""),"",IF($I75="","OK","Check details"))</f>
        <v/>
      </c>
      <c r="I75" s="38" t="str">
        <f aca="false">IF(AND($A75="",$B75="",$C75="",$D75="",$E75=""),"",TRIM(IF(TRIM($A75&amp;"")="","Label is missing. ","")&amp;IF($B75="","First visit is missing. ",IF(NOT(ISNUMBER($B75)),"First visit isn't a date (it's text). ",IF($B75&lt;&gt;INT($B75),"First visit has a time; enter a date only. ",IF(OR($B75&lt;DATE(2000,1,1),$B75&gt;DATE(2099,12,31)),"First visit must be from 2000 to 2099. ",""))))&amp;IF($C75="","Repeat every is missing. ",IF(ISNA(MATCH($C75&amp;"",{"Weekly","Every 2 weeks","Every 3 weeks","Every 4 weeks"},0)),"Repeat every must be Weekly or Every 2, 3 or 4 weeks. ",""))&amp;IF($D75="","Visit length is missing. ",IF(NOT(ISNUMBER($D75)),"Visit length must be a number of hours. ",IF($D75&lt;0,"Visit length can't be negative. ",IF($D75=0,"Visit length must be more than 0. ",IF(ABS($D75*100-ROUND($D75*100,0))&gt;0.000001,"Visit length: use up to 2 decimals. ",IF($D75&gt;24,"Visit length: 24 hours or less. ",""))))))&amp;IF($E75="","",IF(NOT(ISNUMBER($E75)),"Last visit isn't a date (it's text). ",IF($E75&lt;&gt;INT($E75),"Last visit has a time; enter a date only. ",IF(OR($E75&lt;DATE(2000,1,1),$E75&gt;DATE(2099,12,31)),"Last visit must be from 2000 to 2099. ",IF(AND(IF(ISNUMBER($B75),AND($B75=INT($B75),$B75&gt;=DATE(2000,1,1),$B75&lt;=DATE(2099,12,31)),FALSE()),$E75&lt;$B75),"Last visit is before the first visit. ","")))))))</f>
        <v/>
      </c>
      <c r="J75" s="39" t="n">
        <f aca="false">IF($H75="OK",1,0)</f>
        <v>0</v>
      </c>
      <c r="K75" s="40" t="n">
        <f aca="false">IF($J75=1,$B75,0)</f>
        <v>0</v>
      </c>
      <c r="L75" s="39" t="n">
        <f aca="false">IF($J75=1,7*MATCH($C75&amp;"",{"Weekly","Every 2 weeks","Every 3 weeks","Every 4 weeks"},0),7)</f>
        <v>7</v>
      </c>
      <c r="M75" s="40" t="n">
        <f aca="false">IF($J75=1,IF($E75="",2958465,$E75),0)</f>
        <v>0</v>
      </c>
      <c r="N75" s="39" t="n">
        <f aca="false">IF($J75=1,ROUND($D75*100,0),0)</f>
        <v>0</v>
      </c>
      <c r="O75" s="40" t="str">
        <f aca="false">IF($J75&lt;&gt;1,"",IF(AND((WeekMon+WEEKDAY($K75,2)-1)&gt;=$K75,MOD((WeekMon+WEEKDAY($K75,2)-1)-$K75,$L75)=0,(WeekMon+WEEKDAY($K75,2)-1)&lt;=$M75),(WeekMon+WEEKDAY($K75,2)-1),""))</f>
        <v/>
      </c>
      <c r="P75" s="39" t="str">
        <f aca="false">IF($O75="","",($O75-WeekMon)*1000+ROW()-11)</f>
        <v/>
      </c>
    </row>
    <row r="76" customFormat="false" ht="15" hidden="false" customHeight="false" outlineLevel="0" collapsed="false">
      <c r="A76" s="33"/>
      <c r="B76" s="34"/>
      <c r="C76" s="33"/>
      <c r="D76" s="35"/>
      <c r="E76" s="34"/>
      <c r="F76" s="36" t="str">
        <f aca="false">IF(IF(ISNUMBER($B76),AND($B76=INT($B76),$B76&gt;=DATE(2000,1,1),$B76&lt;=DATE(2099,12,31)),FALSE()),CHOOSE(WEEKDAY($B76,2),"Monday","Tuesday","Wednesday","Thursday","Friday","Saturday","Sunday"),"")</f>
        <v/>
      </c>
      <c r="G76" s="36" t="str">
        <f aca="false">IF($J76&lt;&gt;1,"",MAX(0,INT((MIN(WinStart+83,$M76)-MAX($K76,$K76+ROUNDUP((WinStart-$K76)/$L76,0)*$L76))/$L76)+1))</f>
        <v/>
      </c>
      <c r="H76" s="37" t="str">
        <f aca="false">IF(AND($A76="",$B76="",$C76="",$D76="",$E76=""),"",IF($I76="","OK","Check details"))</f>
        <v/>
      </c>
      <c r="I76" s="38" t="str">
        <f aca="false">IF(AND($A76="",$B76="",$C76="",$D76="",$E76=""),"",TRIM(IF(TRIM($A76&amp;"")="","Label is missing. ","")&amp;IF($B76="","First visit is missing. ",IF(NOT(ISNUMBER($B76)),"First visit isn't a date (it's text). ",IF($B76&lt;&gt;INT($B76),"First visit has a time; enter a date only. ",IF(OR($B76&lt;DATE(2000,1,1),$B76&gt;DATE(2099,12,31)),"First visit must be from 2000 to 2099. ",""))))&amp;IF($C76="","Repeat every is missing. ",IF(ISNA(MATCH($C76&amp;"",{"Weekly","Every 2 weeks","Every 3 weeks","Every 4 weeks"},0)),"Repeat every must be Weekly or Every 2, 3 or 4 weeks. ",""))&amp;IF($D76="","Visit length is missing. ",IF(NOT(ISNUMBER($D76)),"Visit length must be a number of hours. ",IF($D76&lt;0,"Visit length can't be negative. ",IF($D76=0,"Visit length must be more than 0. ",IF(ABS($D76*100-ROUND($D76*100,0))&gt;0.000001,"Visit length: use up to 2 decimals. ",IF($D76&gt;24,"Visit length: 24 hours or less. ",""))))))&amp;IF($E76="","",IF(NOT(ISNUMBER($E76)),"Last visit isn't a date (it's text). ",IF($E76&lt;&gt;INT($E76),"Last visit has a time; enter a date only. ",IF(OR($E76&lt;DATE(2000,1,1),$E76&gt;DATE(2099,12,31)),"Last visit must be from 2000 to 2099. ",IF(AND(IF(ISNUMBER($B76),AND($B76=INT($B76),$B76&gt;=DATE(2000,1,1),$B76&lt;=DATE(2099,12,31)),FALSE()),$E76&lt;$B76),"Last visit is before the first visit. ","")))))))</f>
        <v/>
      </c>
      <c r="J76" s="39" t="n">
        <f aca="false">IF($H76="OK",1,0)</f>
        <v>0</v>
      </c>
      <c r="K76" s="40" t="n">
        <f aca="false">IF($J76=1,$B76,0)</f>
        <v>0</v>
      </c>
      <c r="L76" s="39" t="n">
        <f aca="false">IF($J76=1,7*MATCH($C76&amp;"",{"Weekly","Every 2 weeks","Every 3 weeks","Every 4 weeks"},0),7)</f>
        <v>7</v>
      </c>
      <c r="M76" s="40" t="n">
        <f aca="false">IF($J76=1,IF($E76="",2958465,$E76),0)</f>
        <v>0</v>
      </c>
      <c r="N76" s="39" t="n">
        <f aca="false">IF($J76=1,ROUND($D76*100,0),0)</f>
        <v>0</v>
      </c>
      <c r="O76" s="40" t="str">
        <f aca="false">IF($J76&lt;&gt;1,"",IF(AND((WeekMon+WEEKDAY($K76,2)-1)&gt;=$K76,MOD((WeekMon+WEEKDAY($K76,2)-1)-$K76,$L76)=0,(WeekMon+WEEKDAY($K76,2)-1)&lt;=$M76),(WeekMon+WEEKDAY($K76,2)-1),""))</f>
        <v/>
      </c>
      <c r="P76" s="39" t="str">
        <f aca="false">IF($O76="","",($O76-WeekMon)*1000+ROW()-11)</f>
        <v/>
      </c>
    </row>
    <row r="77" customFormat="false" ht="15" hidden="false" customHeight="false" outlineLevel="0" collapsed="false">
      <c r="A77" s="33"/>
      <c r="B77" s="34"/>
      <c r="C77" s="33"/>
      <c r="D77" s="35"/>
      <c r="E77" s="34"/>
      <c r="F77" s="36" t="str">
        <f aca="false">IF(IF(ISNUMBER($B77),AND($B77=INT($B77),$B77&gt;=DATE(2000,1,1),$B77&lt;=DATE(2099,12,31)),FALSE()),CHOOSE(WEEKDAY($B77,2),"Monday","Tuesday","Wednesday","Thursday","Friday","Saturday","Sunday"),"")</f>
        <v/>
      </c>
      <c r="G77" s="36" t="str">
        <f aca="false">IF($J77&lt;&gt;1,"",MAX(0,INT((MIN(WinStart+83,$M77)-MAX($K77,$K77+ROUNDUP((WinStart-$K77)/$L77,0)*$L77))/$L77)+1))</f>
        <v/>
      </c>
      <c r="H77" s="37" t="str">
        <f aca="false">IF(AND($A77="",$B77="",$C77="",$D77="",$E77=""),"",IF($I77="","OK","Check details"))</f>
        <v/>
      </c>
      <c r="I77" s="38" t="str">
        <f aca="false">IF(AND($A77="",$B77="",$C77="",$D77="",$E77=""),"",TRIM(IF(TRIM($A77&amp;"")="","Label is missing. ","")&amp;IF($B77="","First visit is missing. ",IF(NOT(ISNUMBER($B77)),"First visit isn't a date (it's text). ",IF($B77&lt;&gt;INT($B77),"First visit has a time; enter a date only. ",IF(OR($B77&lt;DATE(2000,1,1),$B77&gt;DATE(2099,12,31)),"First visit must be from 2000 to 2099. ",""))))&amp;IF($C77="","Repeat every is missing. ",IF(ISNA(MATCH($C77&amp;"",{"Weekly","Every 2 weeks","Every 3 weeks","Every 4 weeks"},0)),"Repeat every must be Weekly or Every 2, 3 or 4 weeks. ",""))&amp;IF($D77="","Visit length is missing. ",IF(NOT(ISNUMBER($D77)),"Visit length must be a number of hours. ",IF($D77&lt;0,"Visit length can't be negative. ",IF($D77=0,"Visit length must be more than 0. ",IF(ABS($D77*100-ROUND($D77*100,0))&gt;0.000001,"Visit length: use up to 2 decimals. ",IF($D77&gt;24,"Visit length: 24 hours or less. ",""))))))&amp;IF($E77="","",IF(NOT(ISNUMBER($E77)),"Last visit isn't a date (it's text). ",IF($E77&lt;&gt;INT($E77),"Last visit has a time; enter a date only. ",IF(OR($E77&lt;DATE(2000,1,1),$E77&gt;DATE(2099,12,31)),"Last visit must be from 2000 to 2099. ",IF(AND(IF(ISNUMBER($B77),AND($B77=INT($B77),$B77&gt;=DATE(2000,1,1),$B77&lt;=DATE(2099,12,31)),FALSE()),$E77&lt;$B77),"Last visit is before the first visit. ","")))))))</f>
        <v/>
      </c>
      <c r="J77" s="39" t="n">
        <f aca="false">IF($H77="OK",1,0)</f>
        <v>0</v>
      </c>
      <c r="K77" s="40" t="n">
        <f aca="false">IF($J77=1,$B77,0)</f>
        <v>0</v>
      </c>
      <c r="L77" s="39" t="n">
        <f aca="false">IF($J77=1,7*MATCH($C77&amp;"",{"Weekly","Every 2 weeks","Every 3 weeks","Every 4 weeks"},0),7)</f>
        <v>7</v>
      </c>
      <c r="M77" s="40" t="n">
        <f aca="false">IF($J77=1,IF($E77="",2958465,$E77),0)</f>
        <v>0</v>
      </c>
      <c r="N77" s="39" t="n">
        <f aca="false">IF($J77=1,ROUND($D77*100,0),0)</f>
        <v>0</v>
      </c>
      <c r="O77" s="40" t="str">
        <f aca="false">IF($J77&lt;&gt;1,"",IF(AND((WeekMon+WEEKDAY($K77,2)-1)&gt;=$K77,MOD((WeekMon+WEEKDAY($K77,2)-1)-$K77,$L77)=0,(WeekMon+WEEKDAY($K77,2)-1)&lt;=$M77),(WeekMon+WEEKDAY($K77,2)-1),""))</f>
        <v/>
      </c>
      <c r="P77" s="39" t="str">
        <f aca="false">IF($O77="","",($O77-WeekMon)*1000+ROW()-11)</f>
        <v/>
      </c>
    </row>
    <row r="78" customFormat="false" ht="15" hidden="false" customHeight="false" outlineLevel="0" collapsed="false">
      <c r="A78" s="33"/>
      <c r="B78" s="34"/>
      <c r="C78" s="33"/>
      <c r="D78" s="35"/>
      <c r="E78" s="34"/>
      <c r="F78" s="36" t="str">
        <f aca="false">IF(IF(ISNUMBER($B78),AND($B78=INT($B78),$B78&gt;=DATE(2000,1,1),$B78&lt;=DATE(2099,12,31)),FALSE()),CHOOSE(WEEKDAY($B78,2),"Monday","Tuesday","Wednesday","Thursday","Friday","Saturday","Sunday"),"")</f>
        <v/>
      </c>
      <c r="G78" s="36" t="str">
        <f aca="false">IF($J78&lt;&gt;1,"",MAX(0,INT((MIN(WinStart+83,$M78)-MAX($K78,$K78+ROUNDUP((WinStart-$K78)/$L78,0)*$L78))/$L78)+1))</f>
        <v/>
      </c>
      <c r="H78" s="37" t="str">
        <f aca="false">IF(AND($A78="",$B78="",$C78="",$D78="",$E78=""),"",IF($I78="","OK","Check details"))</f>
        <v/>
      </c>
      <c r="I78" s="38" t="str">
        <f aca="false">IF(AND($A78="",$B78="",$C78="",$D78="",$E78=""),"",TRIM(IF(TRIM($A78&amp;"")="","Label is missing. ","")&amp;IF($B78="","First visit is missing. ",IF(NOT(ISNUMBER($B78)),"First visit isn't a date (it's text). ",IF($B78&lt;&gt;INT($B78),"First visit has a time; enter a date only. ",IF(OR($B78&lt;DATE(2000,1,1),$B78&gt;DATE(2099,12,31)),"First visit must be from 2000 to 2099. ",""))))&amp;IF($C78="","Repeat every is missing. ",IF(ISNA(MATCH($C78&amp;"",{"Weekly","Every 2 weeks","Every 3 weeks","Every 4 weeks"},0)),"Repeat every must be Weekly or Every 2, 3 or 4 weeks. ",""))&amp;IF($D78="","Visit length is missing. ",IF(NOT(ISNUMBER($D78)),"Visit length must be a number of hours. ",IF($D78&lt;0,"Visit length can't be negative. ",IF($D78=0,"Visit length must be more than 0. ",IF(ABS($D78*100-ROUND($D78*100,0))&gt;0.000001,"Visit length: use up to 2 decimals. ",IF($D78&gt;24,"Visit length: 24 hours or less. ",""))))))&amp;IF($E78="","",IF(NOT(ISNUMBER($E78)),"Last visit isn't a date (it's text). ",IF($E78&lt;&gt;INT($E78),"Last visit has a time; enter a date only. ",IF(OR($E78&lt;DATE(2000,1,1),$E78&gt;DATE(2099,12,31)),"Last visit must be from 2000 to 2099. ",IF(AND(IF(ISNUMBER($B78),AND($B78=INT($B78),$B78&gt;=DATE(2000,1,1),$B78&lt;=DATE(2099,12,31)),FALSE()),$E78&lt;$B78),"Last visit is before the first visit. ","")))))))</f>
        <v/>
      </c>
      <c r="J78" s="39" t="n">
        <f aca="false">IF($H78="OK",1,0)</f>
        <v>0</v>
      </c>
      <c r="K78" s="40" t="n">
        <f aca="false">IF($J78=1,$B78,0)</f>
        <v>0</v>
      </c>
      <c r="L78" s="39" t="n">
        <f aca="false">IF($J78=1,7*MATCH($C78&amp;"",{"Weekly","Every 2 weeks","Every 3 weeks","Every 4 weeks"},0),7)</f>
        <v>7</v>
      </c>
      <c r="M78" s="40" t="n">
        <f aca="false">IF($J78=1,IF($E78="",2958465,$E78),0)</f>
        <v>0</v>
      </c>
      <c r="N78" s="39" t="n">
        <f aca="false">IF($J78=1,ROUND($D78*100,0),0)</f>
        <v>0</v>
      </c>
      <c r="O78" s="40" t="str">
        <f aca="false">IF($J78&lt;&gt;1,"",IF(AND((WeekMon+WEEKDAY($K78,2)-1)&gt;=$K78,MOD((WeekMon+WEEKDAY($K78,2)-1)-$K78,$L78)=0,(WeekMon+WEEKDAY($K78,2)-1)&lt;=$M78),(WeekMon+WEEKDAY($K78,2)-1),""))</f>
        <v/>
      </c>
      <c r="P78" s="39" t="str">
        <f aca="false">IF($O78="","",($O78-WeekMon)*1000+ROW()-11)</f>
        <v/>
      </c>
    </row>
    <row r="79" customFormat="false" ht="15" hidden="false" customHeight="false" outlineLevel="0" collapsed="false">
      <c r="A79" s="33"/>
      <c r="B79" s="34"/>
      <c r="C79" s="33"/>
      <c r="D79" s="35"/>
      <c r="E79" s="34"/>
      <c r="F79" s="36" t="str">
        <f aca="false">IF(IF(ISNUMBER($B79),AND($B79=INT($B79),$B79&gt;=DATE(2000,1,1),$B79&lt;=DATE(2099,12,31)),FALSE()),CHOOSE(WEEKDAY($B79,2),"Monday","Tuesday","Wednesday","Thursday","Friday","Saturday","Sunday"),"")</f>
        <v/>
      </c>
      <c r="G79" s="36" t="str">
        <f aca="false">IF($J79&lt;&gt;1,"",MAX(0,INT((MIN(WinStart+83,$M79)-MAX($K79,$K79+ROUNDUP((WinStart-$K79)/$L79,0)*$L79))/$L79)+1))</f>
        <v/>
      </c>
      <c r="H79" s="37" t="str">
        <f aca="false">IF(AND($A79="",$B79="",$C79="",$D79="",$E79=""),"",IF($I79="","OK","Check details"))</f>
        <v/>
      </c>
      <c r="I79" s="38" t="str">
        <f aca="false">IF(AND($A79="",$B79="",$C79="",$D79="",$E79=""),"",TRIM(IF(TRIM($A79&amp;"")="","Label is missing. ","")&amp;IF($B79="","First visit is missing. ",IF(NOT(ISNUMBER($B79)),"First visit isn't a date (it's text). ",IF($B79&lt;&gt;INT($B79),"First visit has a time; enter a date only. ",IF(OR($B79&lt;DATE(2000,1,1),$B79&gt;DATE(2099,12,31)),"First visit must be from 2000 to 2099. ",""))))&amp;IF($C79="","Repeat every is missing. ",IF(ISNA(MATCH($C79&amp;"",{"Weekly","Every 2 weeks","Every 3 weeks","Every 4 weeks"},0)),"Repeat every must be Weekly or Every 2, 3 or 4 weeks. ",""))&amp;IF($D79="","Visit length is missing. ",IF(NOT(ISNUMBER($D79)),"Visit length must be a number of hours. ",IF($D79&lt;0,"Visit length can't be negative. ",IF($D79=0,"Visit length must be more than 0. ",IF(ABS($D79*100-ROUND($D79*100,0))&gt;0.000001,"Visit length: use up to 2 decimals. ",IF($D79&gt;24,"Visit length: 24 hours or less. ",""))))))&amp;IF($E79="","",IF(NOT(ISNUMBER($E79)),"Last visit isn't a date (it's text). ",IF($E79&lt;&gt;INT($E79),"Last visit has a time; enter a date only. ",IF(OR($E79&lt;DATE(2000,1,1),$E79&gt;DATE(2099,12,31)),"Last visit must be from 2000 to 2099. ",IF(AND(IF(ISNUMBER($B79),AND($B79=INT($B79),$B79&gt;=DATE(2000,1,1),$B79&lt;=DATE(2099,12,31)),FALSE()),$E79&lt;$B79),"Last visit is before the first visit. ","")))))))</f>
        <v/>
      </c>
      <c r="J79" s="39" t="n">
        <f aca="false">IF($H79="OK",1,0)</f>
        <v>0</v>
      </c>
      <c r="K79" s="40" t="n">
        <f aca="false">IF($J79=1,$B79,0)</f>
        <v>0</v>
      </c>
      <c r="L79" s="39" t="n">
        <f aca="false">IF($J79=1,7*MATCH($C79&amp;"",{"Weekly","Every 2 weeks","Every 3 weeks","Every 4 weeks"},0),7)</f>
        <v>7</v>
      </c>
      <c r="M79" s="40" t="n">
        <f aca="false">IF($J79=1,IF($E79="",2958465,$E79),0)</f>
        <v>0</v>
      </c>
      <c r="N79" s="39" t="n">
        <f aca="false">IF($J79=1,ROUND($D79*100,0),0)</f>
        <v>0</v>
      </c>
      <c r="O79" s="40" t="str">
        <f aca="false">IF($J79&lt;&gt;1,"",IF(AND((WeekMon+WEEKDAY($K79,2)-1)&gt;=$K79,MOD((WeekMon+WEEKDAY($K79,2)-1)-$K79,$L79)=0,(WeekMon+WEEKDAY($K79,2)-1)&lt;=$M79),(WeekMon+WEEKDAY($K79,2)-1),""))</f>
        <v/>
      </c>
      <c r="P79" s="39" t="str">
        <f aca="false">IF($O79="","",($O79-WeekMon)*1000+ROW()-11)</f>
        <v/>
      </c>
    </row>
    <row r="80" customFormat="false" ht="15" hidden="false" customHeight="false" outlineLevel="0" collapsed="false">
      <c r="A80" s="33"/>
      <c r="B80" s="34"/>
      <c r="C80" s="33"/>
      <c r="D80" s="35"/>
      <c r="E80" s="34"/>
      <c r="F80" s="36" t="str">
        <f aca="false">IF(IF(ISNUMBER($B80),AND($B80=INT($B80),$B80&gt;=DATE(2000,1,1),$B80&lt;=DATE(2099,12,31)),FALSE()),CHOOSE(WEEKDAY($B80,2),"Monday","Tuesday","Wednesday","Thursday","Friday","Saturday","Sunday"),"")</f>
        <v/>
      </c>
      <c r="G80" s="36" t="str">
        <f aca="false">IF($J80&lt;&gt;1,"",MAX(0,INT((MIN(WinStart+83,$M80)-MAX($K80,$K80+ROUNDUP((WinStart-$K80)/$L80,0)*$L80))/$L80)+1))</f>
        <v/>
      </c>
      <c r="H80" s="37" t="str">
        <f aca="false">IF(AND($A80="",$B80="",$C80="",$D80="",$E80=""),"",IF($I80="","OK","Check details"))</f>
        <v/>
      </c>
      <c r="I80" s="38" t="str">
        <f aca="false">IF(AND($A80="",$B80="",$C80="",$D80="",$E80=""),"",TRIM(IF(TRIM($A80&amp;"")="","Label is missing. ","")&amp;IF($B80="","First visit is missing. ",IF(NOT(ISNUMBER($B80)),"First visit isn't a date (it's text). ",IF($B80&lt;&gt;INT($B80),"First visit has a time; enter a date only. ",IF(OR($B80&lt;DATE(2000,1,1),$B80&gt;DATE(2099,12,31)),"First visit must be from 2000 to 2099. ",""))))&amp;IF($C80="","Repeat every is missing. ",IF(ISNA(MATCH($C80&amp;"",{"Weekly","Every 2 weeks","Every 3 weeks","Every 4 weeks"},0)),"Repeat every must be Weekly or Every 2, 3 or 4 weeks. ",""))&amp;IF($D80="","Visit length is missing. ",IF(NOT(ISNUMBER($D80)),"Visit length must be a number of hours. ",IF($D80&lt;0,"Visit length can't be negative. ",IF($D80=0,"Visit length must be more than 0. ",IF(ABS($D80*100-ROUND($D80*100,0))&gt;0.000001,"Visit length: use up to 2 decimals. ",IF($D80&gt;24,"Visit length: 24 hours or less. ",""))))))&amp;IF($E80="","",IF(NOT(ISNUMBER($E80)),"Last visit isn't a date (it's text). ",IF($E80&lt;&gt;INT($E80),"Last visit has a time; enter a date only. ",IF(OR($E80&lt;DATE(2000,1,1),$E80&gt;DATE(2099,12,31)),"Last visit must be from 2000 to 2099. ",IF(AND(IF(ISNUMBER($B80),AND($B80=INT($B80),$B80&gt;=DATE(2000,1,1),$B80&lt;=DATE(2099,12,31)),FALSE()),$E80&lt;$B80),"Last visit is before the first visit. ","")))))))</f>
        <v/>
      </c>
      <c r="J80" s="39" t="n">
        <f aca="false">IF($H80="OK",1,0)</f>
        <v>0</v>
      </c>
      <c r="K80" s="40" t="n">
        <f aca="false">IF($J80=1,$B80,0)</f>
        <v>0</v>
      </c>
      <c r="L80" s="39" t="n">
        <f aca="false">IF($J80=1,7*MATCH($C80&amp;"",{"Weekly","Every 2 weeks","Every 3 weeks","Every 4 weeks"},0),7)</f>
        <v>7</v>
      </c>
      <c r="M80" s="40" t="n">
        <f aca="false">IF($J80=1,IF($E80="",2958465,$E80),0)</f>
        <v>0</v>
      </c>
      <c r="N80" s="39" t="n">
        <f aca="false">IF($J80=1,ROUND($D80*100,0),0)</f>
        <v>0</v>
      </c>
      <c r="O80" s="40" t="str">
        <f aca="false">IF($J80&lt;&gt;1,"",IF(AND((WeekMon+WEEKDAY($K80,2)-1)&gt;=$K80,MOD((WeekMon+WEEKDAY($K80,2)-1)-$K80,$L80)=0,(WeekMon+WEEKDAY($K80,2)-1)&lt;=$M80),(WeekMon+WEEKDAY($K80,2)-1),""))</f>
        <v/>
      </c>
      <c r="P80" s="39" t="str">
        <f aca="false">IF($O80="","",($O80-WeekMon)*1000+ROW()-11)</f>
        <v/>
      </c>
    </row>
    <row r="81" customFormat="false" ht="15" hidden="false" customHeight="false" outlineLevel="0" collapsed="false">
      <c r="A81" s="33"/>
      <c r="B81" s="34"/>
      <c r="C81" s="33"/>
      <c r="D81" s="35"/>
      <c r="E81" s="34"/>
      <c r="F81" s="36" t="str">
        <f aca="false">IF(IF(ISNUMBER($B81),AND($B81=INT($B81),$B81&gt;=DATE(2000,1,1),$B81&lt;=DATE(2099,12,31)),FALSE()),CHOOSE(WEEKDAY($B81,2),"Monday","Tuesday","Wednesday","Thursday","Friday","Saturday","Sunday"),"")</f>
        <v/>
      </c>
      <c r="G81" s="36" t="str">
        <f aca="false">IF($J81&lt;&gt;1,"",MAX(0,INT((MIN(WinStart+83,$M81)-MAX($K81,$K81+ROUNDUP((WinStart-$K81)/$L81,0)*$L81))/$L81)+1))</f>
        <v/>
      </c>
      <c r="H81" s="37" t="str">
        <f aca="false">IF(AND($A81="",$B81="",$C81="",$D81="",$E81=""),"",IF($I81="","OK","Check details"))</f>
        <v/>
      </c>
      <c r="I81" s="38" t="str">
        <f aca="false">IF(AND($A81="",$B81="",$C81="",$D81="",$E81=""),"",TRIM(IF(TRIM($A81&amp;"")="","Label is missing. ","")&amp;IF($B81="","First visit is missing. ",IF(NOT(ISNUMBER($B81)),"First visit isn't a date (it's text). ",IF($B81&lt;&gt;INT($B81),"First visit has a time; enter a date only. ",IF(OR($B81&lt;DATE(2000,1,1),$B81&gt;DATE(2099,12,31)),"First visit must be from 2000 to 2099. ",""))))&amp;IF($C81="","Repeat every is missing. ",IF(ISNA(MATCH($C81&amp;"",{"Weekly","Every 2 weeks","Every 3 weeks","Every 4 weeks"},0)),"Repeat every must be Weekly or Every 2, 3 or 4 weeks. ",""))&amp;IF($D81="","Visit length is missing. ",IF(NOT(ISNUMBER($D81)),"Visit length must be a number of hours. ",IF($D81&lt;0,"Visit length can't be negative. ",IF($D81=0,"Visit length must be more than 0. ",IF(ABS($D81*100-ROUND($D81*100,0))&gt;0.000001,"Visit length: use up to 2 decimals. ",IF($D81&gt;24,"Visit length: 24 hours or less. ",""))))))&amp;IF($E81="","",IF(NOT(ISNUMBER($E81)),"Last visit isn't a date (it's text). ",IF($E81&lt;&gt;INT($E81),"Last visit has a time; enter a date only. ",IF(OR($E81&lt;DATE(2000,1,1),$E81&gt;DATE(2099,12,31)),"Last visit must be from 2000 to 2099. ",IF(AND(IF(ISNUMBER($B81),AND($B81=INT($B81),$B81&gt;=DATE(2000,1,1),$B81&lt;=DATE(2099,12,31)),FALSE()),$E81&lt;$B81),"Last visit is before the first visit. ","")))))))</f>
        <v/>
      </c>
      <c r="J81" s="39" t="n">
        <f aca="false">IF($H81="OK",1,0)</f>
        <v>0</v>
      </c>
      <c r="K81" s="40" t="n">
        <f aca="false">IF($J81=1,$B81,0)</f>
        <v>0</v>
      </c>
      <c r="L81" s="39" t="n">
        <f aca="false">IF($J81=1,7*MATCH($C81&amp;"",{"Weekly","Every 2 weeks","Every 3 weeks","Every 4 weeks"},0),7)</f>
        <v>7</v>
      </c>
      <c r="M81" s="40" t="n">
        <f aca="false">IF($J81=1,IF($E81="",2958465,$E81),0)</f>
        <v>0</v>
      </c>
      <c r="N81" s="39" t="n">
        <f aca="false">IF($J81=1,ROUND($D81*100,0),0)</f>
        <v>0</v>
      </c>
      <c r="O81" s="40" t="str">
        <f aca="false">IF($J81&lt;&gt;1,"",IF(AND((WeekMon+WEEKDAY($K81,2)-1)&gt;=$K81,MOD((WeekMon+WEEKDAY($K81,2)-1)-$K81,$L81)=0,(WeekMon+WEEKDAY($K81,2)-1)&lt;=$M81),(WeekMon+WEEKDAY($K81,2)-1),""))</f>
        <v/>
      </c>
      <c r="P81" s="39" t="str">
        <f aca="false">IF($O81="","",($O81-WeekMon)*1000+ROW()-11)</f>
        <v/>
      </c>
    </row>
    <row r="82" customFormat="false" ht="15" hidden="false" customHeight="false" outlineLevel="0" collapsed="false">
      <c r="A82" s="33"/>
      <c r="B82" s="34"/>
      <c r="C82" s="33"/>
      <c r="D82" s="35"/>
      <c r="E82" s="34"/>
      <c r="F82" s="36" t="str">
        <f aca="false">IF(IF(ISNUMBER($B82),AND($B82=INT($B82),$B82&gt;=DATE(2000,1,1),$B82&lt;=DATE(2099,12,31)),FALSE()),CHOOSE(WEEKDAY($B82,2),"Monday","Tuesday","Wednesday","Thursday","Friday","Saturday","Sunday"),"")</f>
        <v/>
      </c>
      <c r="G82" s="36" t="str">
        <f aca="false">IF($J82&lt;&gt;1,"",MAX(0,INT((MIN(WinStart+83,$M82)-MAX($K82,$K82+ROUNDUP((WinStart-$K82)/$L82,0)*$L82))/$L82)+1))</f>
        <v/>
      </c>
      <c r="H82" s="37" t="str">
        <f aca="false">IF(AND($A82="",$B82="",$C82="",$D82="",$E82=""),"",IF($I82="","OK","Check details"))</f>
        <v/>
      </c>
      <c r="I82" s="38" t="str">
        <f aca="false">IF(AND($A82="",$B82="",$C82="",$D82="",$E82=""),"",TRIM(IF(TRIM($A82&amp;"")="","Label is missing. ","")&amp;IF($B82="","First visit is missing. ",IF(NOT(ISNUMBER($B82)),"First visit isn't a date (it's text). ",IF($B82&lt;&gt;INT($B82),"First visit has a time; enter a date only. ",IF(OR($B82&lt;DATE(2000,1,1),$B82&gt;DATE(2099,12,31)),"First visit must be from 2000 to 2099. ",""))))&amp;IF($C82="","Repeat every is missing. ",IF(ISNA(MATCH($C82&amp;"",{"Weekly","Every 2 weeks","Every 3 weeks","Every 4 weeks"},0)),"Repeat every must be Weekly or Every 2, 3 or 4 weeks. ",""))&amp;IF($D82="","Visit length is missing. ",IF(NOT(ISNUMBER($D82)),"Visit length must be a number of hours. ",IF($D82&lt;0,"Visit length can't be negative. ",IF($D82=0,"Visit length must be more than 0. ",IF(ABS($D82*100-ROUND($D82*100,0))&gt;0.000001,"Visit length: use up to 2 decimals. ",IF($D82&gt;24,"Visit length: 24 hours or less. ",""))))))&amp;IF($E82="","",IF(NOT(ISNUMBER($E82)),"Last visit isn't a date (it's text). ",IF($E82&lt;&gt;INT($E82),"Last visit has a time; enter a date only. ",IF(OR($E82&lt;DATE(2000,1,1),$E82&gt;DATE(2099,12,31)),"Last visit must be from 2000 to 2099. ",IF(AND(IF(ISNUMBER($B82),AND($B82=INT($B82),$B82&gt;=DATE(2000,1,1),$B82&lt;=DATE(2099,12,31)),FALSE()),$E82&lt;$B82),"Last visit is before the first visit. ","")))))))</f>
        <v/>
      </c>
      <c r="J82" s="39" t="n">
        <f aca="false">IF($H82="OK",1,0)</f>
        <v>0</v>
      </c>
      <c r="K82" s="40" t="n">
        <f aca="false">IF($J82=1,$B82,0)</f>
        <v>0</v>
      </c>
      <c r="L82" s="39" t="n">
        <f aca="false">IF($J82=1,7*MATCH($C82&amp;"",{"Weekly","Every 2 weeks","Every 3 weeks","Every 4 weeks"},0),7)</f>
        <v>7</v>
      </c>
      <c r="M82" s="40" t="n">
        <f aca="false">IF($J82=1,IF($E82="",2958465,$E82),0)</f>
        <v>0</v>
      </c>
      <c r="N82" s="39" t="n">
        <f aca="false">IF($J82=1,ROUND($D82*100,0),0)</f>
        <v>0</v>
      </c>
      <c r="O82" s="40" t="str">
        <f aca="false">IF($J82&lt;&gt;1,"",IF(AND((WeekMon+WEEKDAY($K82,2)-1)&gt;=$K82,MOD((WeekMon+WEEKDAY($K82,2)-1)-$K82,$L82)=0,(WeekMon+WEEKDAY($K82,2)-1)&lt;=$M82),(WeekMon+WEEKDAY($K82,2)-1),""))</f>
        <v/>
      </c>
      <c r="P82" s="39" t="str">
        <f aca="false">IF($O82="","",($O82-WeekMon)*1000+ROW()-11)</f>
        <v/>
      </c>
    </row>
    <row r="83" customFormat="false" ht="15" hidden="false" customHeight="false" outlineLevel="0" collapsed="false">
      <c r="A83" s="33"/>
      <c r="B83" s="34"/>
      <c r="C83" s="33"/>
      <c r="D83" s="35"/>
      <c r="E83" s="34"/>
      <c r="F83" s="36" t="str">
        <f aca="false">IF(IF(ISNUMBER($B83),AND($B83=INT($B83),$B83&gt;=DATE(2000,1,1),$B83&lt;=DATE(2099,12,31)),FALSE()),CHOOSE(WEEKDAY($B83,2),"Monday","Tuesday","Wednesday","Thursday","Friday","Saturday","Sunday"),"")</f>
        <v/>
      </c>
      <c r="G83" s="36" t="str">
        <f aca="false">IF($J83&lt;&gt;1,"",MAX(0,INT((MIN(WinStart+83,$M83)-MAX($K83,$K83+ROUNDUP((WinStart-$K83)/$L83,0)*$L83))/$L83)+1))</f>
        <v/>
      </c>
      <c r="H83" s="37" t="str">
        <f aca="false">IF(AND($A83="",$B83="",$C83="",$D83="",$E83=""),"",IF($I83="","OK","Check details"))</f>
        <v/>
      </c>
      <c r="I83" s="38" t="str">
        <f aca="false">IF(AND($A83="",$B83="",$C83="",$D83="",$E83=""),"",TRIM(IF(TRIM($A83&amp;"")="","Label is missing. ","")&amp;IF($B83="","First visit is missing. ",IF(NOT(ISNUMBER($B83)),"First visit isn't a date (it's text). ",IF($B83&lt;&gt;INT($B83),"First visit has a time; enter a date only. ",IF(OR($B83&lt;DATE(2000,1,1),$B83&gt;DATE(2099,12,31)),"First visit must be from 2000 to 2099. ",""))))&amp;IF($C83="","Repeat every is missing. ",IF(ISNA(MATCH($C83&amp;"",{"Weekly","Every 2 weeks","Every 3 weeks","Every 4 weeks"},0)),"Repeat every must be Weekly or Every 2, 3 or 4 weeks. ",""))&amp;IF($D83="","Visit length is missing. ",IF(NOT(ISNUMBER($D83)),"Visit length must be a number of hours. ",IF($D83&lt;0,"Visit length can't be negative. ",IF($D83=0,"Visit length must be more than 0. ",IF(ABS($D83*100-ROUND($D83*100,0))&gt;0.000001,"Visit length: use up to 2 decimals. ",IF($D83&gt;24,"Visit length: 24 hours or less. ",""))))))&amp;IF($E83="","",IF(NOT(ISNUMBER($E83)),"Last visit isn't a date (it's text). ",IF($E83&lt;&gt;INT($E83),"Last visit has a time; enter a date only. ",IF(OR($E83&lt;DATE(2000,1,1),$E83&gt;DATE(2099,12,31)),"Last visit must be from 2000 to 2099. ",IF(AND(IF(ISNUMBER($B83),AND($B83=INT($B83),$B83&gt;=DATE(2000,1,1),$B83&lt;=DATE(2099,12,31)),FALSE()),$E83&lt;$B83),"Last visit is before the first visit. ","")))))))</f>
        <v/>
      </c>
      <c r="J83" s="39" t="n">
        <f aca="false">IF($H83="OK",1,0)</f>
        <v>0</v>
      </c>
      <c r="K83" s="40" t="n">
        <f aca="false">IF($J83=1,$B83,0)</f>
        <v>0</v>
      </c>
      <c r="L83" s="39" t="n">
        <f aca="false">IF($J83=1,7*MATCH($C83&amp;"",{"Weekly","Every 2 weeks","Every 3 weeks","Every 4 weeks"},0),7)</f>
        <v>7</v>
      </c>
      <c r="M83" s="40" t="n">
        <f aca="false">IF($J83=1,IF($E83="",2958465,$E83),0)</f>
        <v>0</v>
      </c>
      <c r="N83" s="39" t="n">
        <f aca="false">IF($J83=1,ROUND($D83*100,0),0)</f>
        <v>0</v>
      </c>
      <c r="O83" s="40" t="str">
        <f aca="false">IF($J83&lt;&gt;1,"",IF(AND((WeekMon+WEEKDAY($K83,2)-1)&gt;=$K83,MOD((WeekMon+WEEKDAY($K83,2)-1)-$K83,$L83)=0,(WeekMon+WEEKDAY($K83,2)-1)&lt;=$M83),(WeekMon+WEEKDAY($K83,2)-1),""))</f>
        <v/>
      </c>
      <c r="P83" s="39" t="str">
        <f aca="false">IF($O83="","",($O83-WeekMon)*1000+ROW()-11)</f>
        <v/>
      </c>
    </row>
    <row r="84" customFormat="false" ht="15" hidden="false" customHeight="false" outlineLevel="0" collapsed="false">
      <c r="A84" s="33"/>
      <c r="B84" s="34"/>
      <c r="C84" s="33"/>
      <c r="D84" s="35"/>
      <c r="E84" s="34"/>
      <c r="F84" s="36" t="str">
        <f aca="false">IF(IF(ISNUMBER($B84),AND($B84=INT($B84),$B84&gt;=DATE(2000,1,1),$B84&lt;=DATE(2099,12,31)),FALSE()),CHOOSE(WEEKDAY($B84,2),"Monday","Tuesday","Wednesday","Thursday","Friday","Saturday","Sunday"),"")</f>
        <v/>
      </c>
      <c r="G84" s="36" t="str">
        <f aca="false">IF($J84&lt;&gt;1,"",MAX(0,INT((MIN(WinStart+83,$M84)-MAX($K84,$K84+ROUNDUP((WinStart-$K84)/$L84,0)*$L84))/$L84)+1))</f>
        <v/>
      </c>
      <c r="H84" s="37" t="str">
        <f aca="false">IF(AND($A84="",$B84="",$C84="",$D84="",$E84=""),"",IF($I84="","OK","Check details"))</f>
        <v/>
      </c>
      <c r="I84" s="38" t="str">
        <f aca="false">IF(AND($A84="",$B84="",$C84="",$D84="",$E84=""),"",TRIM(IF(TRIM($A84&amp;"")="","Label is missing. ","")&amp;IF($B84="","First visit is missing. ",IF(NOT(ISNUMBER($B84)),"First visit isn't a date (it's text). ",IF($B84&lt;&gt;INT($B84),"First visit has a time; enter a date only. ",IF(OR($B84&lt;DATE(2000,1,1),$B84&gt;DATE(2099,12,31)),"First visit must be from 2000 to 2099. ",""))))&amp;IF($C84="","Repeat every is missing. ",IF(ISNA(MATCH($C84&amp;"",{"Weekly","Every 2 weeks","Every 3 weeks","Every 4 weeks"},0)),"Repeat every must be Weekly or Every 2, 3 or 4 weeks. ",""))&amp;IF($D84="","Visit length is missing. ",IF(NOT(ISNUMBER($D84)),"Visit length must be a number of hours. ",IF($D84&lt;0,"Visit length can't be negative. ",IF($D84=0,"Visit length must be more than 0. ",IF(ABS($D84*100-ROUND($D84*100,0))&gt;0.000001,"Visit length: use up to 2 decimals. ",IF($D84&gt;24,"Visit length: 24 hours or less. ",""))))))&amp;IF($E84="","",IF(NOT(ISNUMBER($E84)),"Last visit isn't a date (it's text). ",IF($E84&lt;&gt;INT($E84),"Last visit has a time; enter a date only. ",IF(OR($E84&lt;DATE(2000,1,1),$E84&gt;DATE(2099,12,31)),"Last visit must be from 2000 to 2099. ",IF(AND(IF(ISNUMBER($B84),AND($B84=INT($B84),$B84&gt;=DATE(2000,1,1),$B84&lt;=DATE(2099,12,31)),FALSE()),$E84&lt;$B84),"Last visit is before the first visit. ","")))))))</f>
        <v/>
      </c>
      <c r="J84" s="39" t="n">
        <f aca="false">IF($H84="OK",1,0)</f>
        <v>0</v>
      </c>
      <c r="K84" s="40" t="n">
        <f aca="false">IF($J84=1,$B84,0)</f>
        <v>0</v>
      </c>
      <c r="L84" s="39" t="n">
        <f aca="false">IF($J84=1,7*MATCH($C84&amp;"",{"Weekly","Every 2 weeks","Every 3 weeks","Every 4 weeks"},0),7)</f>
        <v>7</v>
      </c>
      <c r="M84" s="40" t="n">
        <f aca="false">IF($J84=1,IF($E84="",2958465,$E84),0)</f>
        <v>0</v>
      </c>
      <c r="N84" s="39" t="n">
        <f aca="false">IF($J84=1,ROUND($D84*100,0),0)</f>
        <v>0</v>
      </c>
      <c r="O84" s="40" t="str">
        <f aca="false">IF($J84&lt;&gt;1,"",IF(AND((WeekMon+WEEKDAY($K84,2)-1)&gt;=$K84,MOD((WeekMon+WEEKDAY($K84,2)-1)-$K84,$L84)=0,(WeekMon+WEEKDAY($K84,2)-1)&lt;=$M84),(WeekMon+WEEKDAY($K84,2)-1),""))</f>
        <v/>
      </c>
      <c r="P84" s="39" t="str">
        <f aca="false">IF($O84="","",($O84-WeekMon)*1000+ROW()-11)</f>
        <v/>
      </c>
    </row>
    <row r="85" customFormat="false" ht="15" hidden="false" customHeight="false" outlineLevel="0" collapsed="false">
      <c r="A85" s="33"/>
      <c r="B85" s="34"/>
      <c r="C85" s="33"/>
      <c r="D85" s="35"/>
      <c r="E85" s="34"/>
      <c r="F85" s="36" t="str">
        <f aca="false">IF(IF(ISNUMBER($B85),AND($B85=INT($B85),$B85&gt;=DATE(2000,1,1),$B85&lt;=DATE(2099,12,31)),FALSE()),CHOOSE(WEEKDAY($B85,2),"Monday","Tuesday","Wednesday","Thursday","Friday","Saturday","Sunday"),"")</f>
        <v/>
      </c>
      <c r="G85" s="36" t="str">
        <f aca="false">IF($J85&lt;&gt;1,"",MAX(0,INT((MIN(WinStart+83,$M85)-MAX($K85,$K85+ROUNDUP((WinStart-$K85)/$L85,0)*$L85))/$L85)+1))</f>
        <v/>
      </c>
      <c r="H85" s="37" t="str">
        <f aca="false">IF(AND($A85="",$B85="",$C85="",$D85="",$E85=""),"",IF($I85="","OK","Check details"))</f>
        <v/>
      </c>
      <c r="I85" s="38" t="str">
        <f aca="false">IF(AND($A85="",$B85="",$C85="",$D85="",$E85=""),"",TRIM(IF(TRIM($A85&amp;"")="","Label is missing. ","")&amp;IF($B85="","First visit is missing. ",IF(NOT(ISNUMBER($B85)),"First visit isn't a date (it's text). ",IF($B85&lt;&gt;INT($B85),"First visit has a time; enter a date only. ",IF(OR($B85&lt;DATE(2000,1,1),$B85&gt;DATE(2099,12,31)),"First visit must be from 2000 to 2099. ",""))))&amp;IF($C85="","Repeat every is missing. ",IF(ISNA(MATCH($C85&amp;"",{"Weekly","Every 2 weeks","Every 3 weeks","Every 4 weeks"},0)),"Repeat every must be Weekly or Every 2, 3 or 4 weeks. ",""))&amp;IF($D85="","Visit length is missing. ",IF(NOT(ISNUMBER($D85)),"Visit length must be a number of hours. ",IF($D85&lt;0,"Visit length can't be negative. ",IF($D85=0,"Visit length must be more than 0. ",IF(ABS($D85*100-ROUND($D85*100,0))&gt;0.000001,"Visit length: use up to 2 decimals. ",IF($D85&gt;24,"Visit length: 24 hours or less. ",""))))))&amp;IF($E85="","",IF(NOT(ISNUMBER($E85)),"Last visit isn't a date (it's text). ",IF($E85&lt;&gt;INT($E85),"Last visit has a time; enter a date only. ",IF(OR($E85&lt;DATE(2000,1,1),$E85&gt;DATE(2099,12,31)),"Last visit must be from 2000 to 2099. ",IF(AND(IF(ISNUMBER($B85),AND($B85=INT($B85),$B85&gt;=DATE(2000,1,1),$B85&lt;=DATE(2099,12,31)),FALSE()),$E85&lt;$B85),"Last visit is before the first visit. ","")))))))</f>
        <v/>
      </c>
      <c r="J85" s="39" t="n">
        <f aca="false">IF($H85="OK",1,0)</f>
        <v>0</v>
      </c>
      <c r="K85" s="40" t="n">
        <f aca="false">IF($J85=1,$B85,0)</f>
        <v>0</v>
      </c>
      <c r="L85" s="39" t="n">
        <f aca="false">IF($J85=1,7*MATCH($C85&amp;"",{"Weekly","Every 2 weeks","Every 3 weeks","Every 4 weeks"},0),7)</f>
        <v>7</v>
      </c>
      <c r="M85" s="40" t="n">
        <f aca="false">IF($J85=1,IF($E85="",2958465,$E85),0)</f>
        <v>0</v>
      </c>
      <c r="N85" s="39" t="n">
        <f aca="false">IF($J85=1,ROUND($D85*100,0),0)</f>
        <v>0</v>
      </c>
      <c r="O85" s="40" t="str">
        <f aca="false">IF($J85&lt;&gt;1,"",IF(AND((WeekMon+WEEKDAY($K85,2)-1)&gt;=$K85,MOD((WeekMon+WEEKDAY($K85,2)-1)-$K85,$L85)=0,(WeekMon+WEEKDAY($K85,2)-1)&lt;=$M85),(WeekMon+WEEKDAY($K85,2)-1),""))</f>
        <v/>
      </c>
      <c r="P85" s="39" t="str">
        <f aca="false">IF($O85="","",($O85-WeekMon)*1000+ROW()-11)</f>
        <v/>
      </c>
    </row>
    <row r="86" customFormat="false" ht="15" hidden="false" customHeight="false" outlineLevel="0" collapsed="false">
      <c r="A86" s="33"/>
      <c r="B86" s="34"/>
      <c r="C86" s="33"/>
      <c r="D86" s="35"/>
      <c r="E86" s="34"/>
      <c r="F86" s="36" t="str">
        <f aca="false">IF(IF(ISNUMBER($B86),AND($B86=INT($B86),$B86&gt;=DATE(2000,1,1),$B86&lt;=DATE(2099,12,31)),FALSE()),CHOOSE(WEEKDAY($B86,2),"Monday","Tuesday","Wednesday","Thursday","Friday","Saturday","Sunday"),"")</f>
        <v/>
      </c>
      <c r="G86" s="36" t="str">
        <f aca="false">IF($J86&lt;&gt;1,"",MAX(0,INT((MIN(WinStart+83,$M86)-MAX($K86,$K86+ROUNDUP((WinStart-$K86)/$L86,0)*$L86))/$L86)+1))</f>
        <v/>
      </c>
      <c r="H86" s="37" t="str">
        <f aca="false">IF(AND($A86="",$B86="",$C86="",$D86="",$E86=""),"",IF($I86="","OK","Check details"))</f>
        <v/>
      </c>
      <c r="I86" s="38" t="str">
        <f aca="false">IF(AND($A86="",$B86="",$C86="",$D86="",$E86=""),"",TRIM(IF(TRIM($A86&amp;"")="","Label is missing. ","")&amp;IF($B86="","First visit is missing. ",IF(NOT(ISNUMBER($B86)),"First visit isn't a date (it's text). ",IF($B86&lt;&gt;INT($B86),"First visit has a time; enter a date only. ",IF(OR($B86&lt;DATE(2000,1,1),$B86&gt;DATE(2099,12,31)),"First visit must be from 2000 to 2099. ",""))))&amp;IF($C86="","Repeat every is missing. ",IF(ISNA(MATCH($C86&amp;"",{"Weekly","Every 2 weeks","Every 3 weeks","Every 4 weeks"},0)),"Repeat every must be Weekly or Every 2, 3 or 4 weeks. ",""))&amp;IF($D86="","Visit length is missing. ",IF(NOT(ISNUMBER($D86)),"Visit length must be a number of hours. ",IF($D86&lt;0,"Visit length can't be negative. ",IF($D86=0,"Visit length must be more than 0. ",IF(ABS($D86*100-ROUND($D86*100,0))&gt;0.000001,"Visit length: use up to 2 decimals. ",IF($D86&gt;24,"Visit length: 24 hours or less. ",""))))))&amp;IF($E86="","",IF(NOT(ISNUMBER($E86)),"Last visit isn't a date (it's text). ",IF($E86&lt;&gt;INT($E86),"Last visit has a time; enter a date only. ",IF(OR($E86&lt;DATE(2000,1,1),$E86&gt;DATE(2099,12,31)),"Last visit must be from 2000 to 2099. ",IF(AND(IF(ISNUMBER($B86),AND($B86=INT($B86),$B86&gt;=DATE(2000,1,1),$B86&lt;=DATE(2099,12,31)),FALSE()),$E86&lt;$B86),"Last visit is before the first visit. ","")))))))</f>
        <v/>
      </c>
      <c r="J86" s="39" t="n">
        <f aca="false">IF($H86="OK",1,0)</f>
        <v>0</v>
      </c>
      <c r="K86" s="40" t="n">
        <f aca="false">IF($J86=1,$B86,0)</f>
        <v>0</v>
      </c>
      <c r="L86" s="39" t="n">
        <f aca="false">IF($J86=1,7*MATCH($C86&amp;"",{"Weekly","Every 2 weeks","Every 3 weeks","Every 4 weeks"},0),7)</f>
        <v>7</v>
      </c>
      <c r="M86" s="40" t="n">
        <f aca="false">IF($J86=1,IF($E86="",2958465,$E86),0)</f>
        <v>0</v>
      </c>
      <c r="N86" s="39" t="n">
        <f aca="false">IF($J86=1,ROUND($D86*100,0),0)</f>
        <v>0</v>
      </c>
      <c r="O86" s="40" t="str">
        <f aca="false">IF($J86&lt;&gt;1,"",IF(AND((WeekMon+WEEKDAY($K86,2)-1)&gt;=$K86,MOD((WeekMon+WEEKDAY($K86,2)-1)-$K86,$L86)=0,(WeekMon+WEEKDAY($K86,2)-1)&lt;=$M86),(WeekMon+WEEKDAY($K86,2)-1),""))</f>
        <v/>
      </c>
      <c r="P86" s="39" t="str">
        <f aca="false">IF($O86="","",($O86-WeekMon)*1000+ROW()-11)</f>
        <v/>
      </c>
    </row>
    <row r="87" customFormat="false" ht="15" hidden="false" customHeight="false" outlineLevel="0" collapsed="false">
      <c r="A87" s="33"/>
      <c r="B87" s="34"/>
      <c r="C87" s="33"/>
      <c r="D87" s="35"/>
      <c r="E87" s="34"/>
      <c r="F87" s="36" t="str">
        <f aca="false">IF(IF(ISNUMBER($B87),AND($B87=INT($B87),$B87&gt;=DATE(2000,1,1),$B87&lt;=DATE(2099,12,31)),FALSE()),CHOOSE(WEEKDAY($B87,2),"Monday","Tuesday","Wednesday","Thursday","Friday","Saturday","Sunday"),"")</f>
        <v/>
      </c>
      <c r="G87" s="36" t="str">
        <f aca="false">IF($J87&lt;&gt;1,"",MAX(0,INT((MIN(WinStart+83,$M87)-MAX($K87,$K87+ROUNDUP((WinStart-$K87)/$L87,0)*$L87))/$L87)+1))</f>
        <v/>
      </c>
      <c r="H87" s="37" t="str">
        <f aca="false">IF(AND($A87="",$B87="",$C87="",$D87="",$E87=""),"",IF($I87="","OK","Check details"))</f>
        <v/>
      </c>
      <c r="I87" s="38" t="str">
        <f aca="false">IF(AND($A87="",$B87="",$C87="",$D87="",$E87=""),"",TRIM(IF(TRIM($A87&amp;"")="","Label is missing. ","")&amp;IF($B87="","First visit is missing. ",IF(NOT(ISNUMBER($B87)),"First visit isn't a date (it's text). ",IF($B87&lt;&gt;INT($B87),"First visit has a time; enter a date only. ",IF(OR($B87&lt;DATE(2000,1,1),$B87&gt;DATE(2099,12,31)),"First visit must be from 2000 to 2099. ",""))))&amp;IF($C87="","Repeat every is missing. ",IF(ISNA(MATCH($C87&amp;"",{"Weekly","Every 2 weeks","Every 3 weeks","Every 4 weeks"},0)),"Repeat every must be Weekly or Every 2, 3 or 4 weeks. ",""))&amp;IF($D87="","Visit length is missing. ",IF(NOT(ISNUMBER($D87)),"Visit length must be a number of hours. ",IF($D87&lt;0,"Visit length can't be negative. ",IF($D87=0,"Visit length must be more than 0. ",IF(ABS($D87*100-ROUND($D87*100,0))&gt;0.000001,"Visit length: use up to 2 decimals. ",IF($D87&gt;24,"Visit length: 24 hours or less. ",""))))))&amp;IF($E87="","",IF(NOT(ISNUMBER($E87)),"Last visit isn't a date (it's text). ",IF($E87&lt;&gt;INT($E87),"Last visit has a time; enter a date only. ",IF(OR($E87&lt;DATE(2000,1,1),$E87&gt;DATE(2099,12,31)),"Last visit must be from 2000 to 2099. ",IF(AND(IF(ISNUMBER($B87),AND($B87=INT($B87),$B87&gt;=DATE(2000,1,1),$B87&lt;=DATE(2099,12,31)),FALSE()),$E87&lt;$B87),"Last visit is before the first visit. ","")))))))</f>
        <v/>
      </c>
      <c r="J87" s="39" t="n">
        <f aca="false">IF($H87="OK",1,0)</f>
        <v>0</v>
      </c>
      <c r="K87" s="40" t="n">
        <f aca="false">IF($J87=1,$B87,0)</f>
        <v>0</v>
      </c>
      <c r="L87" s="39" t="n">
        <f aca="false">IF($J87=1,7*MATCH($C87&amp;"",{"Weekly","Every 2 weeks","Every 3 weeks","Every 4 weeks"},0),7)</f>
        <v>7</v>
      </c>
      <c r="M87" s="40" t="n">
        <f aca="false">IF($J87=1,IF($E87="",2958465,$E87),0)</f>
        <v>0</v>
      </c>
      <c r="N87" s="39" t="n">
        <f aca="false">IF($J87=1,ROUND($D87*100,0),0)</f>
        <v>0</v>
      </c>
      <c r="O87" s="40" t="str">
        <f aca="false">IF($J87&lt;&gt;1,"",IF(AND((WeekMon+WEEKDAY($K87,2)-1)&gt;=$K87,MOD((WeekMon+WEEKDAY($K87,2)-1)-$K87,$L87)=0,(WeekMon+WEEKDAY($K87,2)-1)&lt;=$M87),(WeekMon+WEEKDAY($K87,2)-1),""))</f>
        <v/>
      </c>
      <c r="P87" s="39" t="str">
        <f aca="false">IF($O87="","",($O87-WeekMon)*1000+ROW()-11)</f>
        <v/>
      </c>
    </row>
    <row r="88" customFormat="false" ht="15" hidden="false" customHeight="false" outlineLevel="0" collapsed="false">
      <c r="A88" s="33"/>
      <c r="B88" s="34"/>
      <c r="C88" s="33"/>
      <c r="D88" s="35"/>
      <c r="E88" s="34"/>
      <c r="F88" s="36" t="str">
        <f aca="false">IF(IF(ISNUMBER($B88),AND($B88=INT($B88),$B88&gt;=DATE(2000,1,1),$B88&lt;=DATE(2099,12,31)),FALSE()),CHOOSE(WEEKDAY($B88,2),"Monday","Tuesday","Wednesday","Thursday","Friday","Saturday","Sunday"),"")</f>
        <v/>
      </c>
      <c r="G88" s="36" t="str">
        <f aca="false">IF($J88&lt;&gt;1,"",MAX(0,INT((MIN(WinStart+83,$M88)-MAX($K88,$K88+ROUNDUP((WinStart-$K88)/$L88,0)*$L88))/$L88)+1))</f>
        <v/>
      </c>
      <c r="H88" s="37" t="str">
        <f aca="false">IF(AND($A88="",$B88="",$C88="",$D88="",$E88=""),"",IF($I88="","OK","Check details"))</f>
        <v/>
      </c>
      <c r="I88" s="38" t="str">
        <f aca="false">IF(AND($A88="",$B88="",$C88="",$D88="",$E88=""),"",TRIM(IF(TRIM($A88&amp;"")="","Label is missing. ","")&amp;IF($B88="","First visit is missing. ",IF(NOT(ISNUMBER($B88)),"First visit isn't a date (it's text). ",IF($B88&lt;&gt;INT($B88),"First visit has a time; enter a date only. ",IF(OR($B88&lt;DATE(2000,1,1),$B88&gt;DATE(2099,12,31)),"First visit must be from 2000 to 2099. ",""))))&amp;IF($C88="","Repeat every is missing. ",IF(ISNA(MATCH($C88&amp;"",{"Weekly","Every 2 weeks","Every 3 weeks","Every 4 weeks"},0)),"Repeat every must be Weekly or Every 2, 3 or 4 weeks. ",""))&amp;IF($D88="","Visit length is missing. ",IF(NOT(ISNUMBER($D88)),"Visit length must be a number of hours. ",IF($D88&lt;0,"Visit length can't be negative. ",IF($D88=0,"Visit length must be more than 0. ",IF(ABS($D88*100-ROUND($D88*100,0))&gt;0.000001,"Visit length: use up to 2 decimals. ",IF($D88&gt;24,"Visit length: 24 hours or less. ",""))))))&amp;IF($E88="","",IF(NOT(ISNUMBER($E88)),"Last visit isn't a date (it's text). ",IF($E88&lt;&gt;INT($E88),"Last visit has a time; enter a date only. ",IF(OR($E88&lt;DATE(2000,1,1),$E88&gt;DATE(2099,12,31)),"Last visit must be from 2000 to 2099. ",IF(AND(IF(ISNUMBER($B88),AND($B88=INT($B88),$B88&gt;=DATE(2000,1,1),$B88&lt;=DATE(2099,12,31)),FALSE()),$E88&lt;$B88),"Last visit is before the first visit. ","")))))))</f>
        <v/>
      </c>
      <c r="J88" s="39" t="n">
        <f aca="false">IF($H88="OK",1,0)</f>
        <v>0</v>
      </c>
      <c r="K88" s="40" t="n">
        <f aca="false">IF($J88=1,$B88,0)</f>
        <v>0</v>
      </c>
      <c r="L88" s="39" t="n">
        <f aca="false">IF($J88=1,7*MATCH($C88&amp;"",{"Weekly","Every 2 weeks","Every 3 weeks","Every 4 weeks"},0),7)</f>
        <v>7</v>
      </c>
      <c r="M88" s="40" t="n">
        <f aca="false">IF($J88=1,IF($E88="",2958465,$E88),0)</f>
        <v>0</v>
      </c>
      <c r="N88" s="39" t="n">
        <f aca="false">IF($J88=1,ROUND($D88*100,0),0)</f>
        <v>0</v>
      </c>
      <c r="O88" s="40" t="str">
        <f aca="false">IF($J88&lt;&gt;1,"",IF(AND((WeekMon+WEEKDAY($K88,2)-1)&gt;=$K88,MOD((WeekMon+WEEKDAY($K88,2)-1)-$K88,$L88)=0,(WeekMon+WEEKDAY($K88,2)-1)&lt;=$M88),(WeekMon+WEEKDAY($K88,2)-1),""))</f>
        <v/>
      </c>
      <c r="P88" s="39" t="str">
        <f aca="false">IF($O88="","",($O88-WeekMon)*1000+ROW()-11)</f>
        <v/>
      </c>
    </row>
    <row r="89" customFormat="false" ht="15" hidden="false" customHeight="false" outlineLevel="0" collapsed="false">
      <c r="A89" s="33"/>
      <c r="B89" s="34"/>
      <c r="C89" s="33"/>
      <c r="D89" s="35"/>
      <c r="E89" s="34"/>
      <c r="F89" s="36" t="str">
        <f aca="false">IF(IF(ISNUMBER($B89),AND($B89=INT($B89),$B89&gt;=DATE(2000,1,1),$B89&lt;=DATE(2099,12,31)),FALSE()),CHOOSE(WEEKDAY($B89,2),"Monday","Tuesday","Wednesday","Thursday","Friday","Saturday","Sunday"),"")</f>
        <v/>
      </c>
      <c r="G89" s="36" t="str">
        <f aca="false">IF($J89&lt;&gt;1,"",MAX(0,INT((MIN(WinStart+83,$M89)-MAX($K89,$K89+ROUNDUP((WinStart-$K89)/$L89,0)*$L89))/$L89)+1))</f>
        <v/>
      </c>
      <c r="H89" s="37" t="str">
        <f aca="false">IF(AND($A89="",$B89="",$C89="",$D89="",$E89=""),"",IF($I89="","OK","Check details"))</f>
        <v/>
      </c>
      <c r="I89" s="38" t="str">
        <f aca="false">IF(AND($A89="",$B89="",$C89="",$D89="",$E89=""),"",TRIM(IF(TRIM($A89&amp;"")="","Label is missing. ","")&amp;IF($B89="","First visit is missing. ",IF(NOT(ISNUMBER($B89)),"First visit isn't a date (it's text). ",IF($B89&lt;&gt;INT($B89),"First visit has a time; enter a date only. ",IF(OR($B89&lt;DATE(2000,1,1),$B89&gt;DATE(2099,12,31)),"First visit must be from 2000 to 2099. ",""))))&amp;IF($C89="","Repeat every is missing. ",IF(ISNA(MATCH($C89&amp;"",{"Weekly","Every 2 weeks","Every 3 weeks","Every 4 weeks"},0)),"Repeat every must be Weekly or Every 2, 3 or 4 weeks. ",""))&amp;IF($D89="","Visit length is missing. ",IF(NOT(ISNUMBER($D89)),"Visit length must be a number of hours. ",IF($D89&lt;0,"Visit length can't be negative. ",IF($D89=0,"Visit length must be more than 0. ",IF(ABS($D89*100-ROUND($D89*100,0))&gt;0.000001,"Visit length: use up to 2 decimals. ",IF($D89&gt;24,"Visit length: 24 hours or less. ",""))))))&amp;IF($E89="","",IF(NOT(ISNUMBER($E89)),"Last visit isn't a date (it's text). ",IF($E89&lt;&gt;INT($E89),"Last visit has a time; enter a date only. ",IF(OR($E89&lt;DATE(2000,1,1),$E89&gt;DATE(2099,12,31)),"Last visit must be from 2000 to 2099. ",IF(AND(IF(ISNUMBER($B89),AND($B89=INT($B89),$B89&gt;=DATE(2000,1,1),$B89&lt;=DATE(2099,12,31)),FALSE()),$E89&lt;$B89),"Last visit is before the first visit. ","")))))))</f>
        <v/>
      </c>
      <c r="J89" s="39" t="n">
        <f aca="false">IF($H89="OK",1,0)</f>
        <v>0</v>
      </c>
      <c r="K89" s="40" t="n">
        <f aca="false">IF($J89=1,$B89,0)</f>
        <v>0</v>
      </c>
      <c r="L89" s="39" t="n">
        <f aca="false">IF($J89=1,7*MATCH($C89&amp;"",{"Weekly","Every 2 weeks","Every 3 weeks","Every 4 weeks"},0),7)</f>
        <v>7</v>
      </c>
      <c r="M89" s="40" t="n">
        <f aca="false">IF($J89=1,IF($E89="",2958465,$E89),0)</f>
        <v>0</v>
      </c>
      <c r="N89" s="39" t="n">
        <f aca="false">IF($J89=1,ROUND($D89*100,0),0)</f>
        <v>0</v>
      </c>
      <c r="O89" s="40" t="str">
        <f aca="false">IF($J89&lt;&gt;1,"",IF(AND((WeekMon+WEEKDAY($K89,2)-1)&gt;=$K89,MOD((WeekMon+WEEKDAY($K89,2)-1)-$K89,$L89)=0,(WeekMon+WEEKDAY($K89,2)-1)&lt;=$M89),(WeekMon+WEEKDAY($K89,2)-1),""))</f>
        <v/>
      </c>
      <c r="P89" s="39" t="str">
        <f aca="false">IF($O89="","",($O89-WeekMon)*1000+ROW()-11)</f>
        <v/>
      </c>
    </row>
    <row r="90" customFormat="false" ht="15" hidden="false" customHeight="false" outlineLevel="0" collapsed="false">
      <c r="A90" s="33"/>
      <c r="B90" s="34"/>
      <c r="C90" s="33"/>
      <c r="D90" s="35"/>
      <c r="E90" s="34"/>
      <c r="F90" s="36" t="str">
        <f aca="false">IF(IF(ISNUMBER($B90),AND($B90=INT($B90),$B90&gt;=DATE(2000,1,1),$B90&lt;=DATE(2099,12,31)),FALSE()),CHOOSE(WEEKDAY($B90,2),"Monday","Tuesday","Wednesday","Thursday","Friday","Saturday","Sunday"),"")</f>
        <v/>
      </c>
      <c r="G90" s="36" t="str">
        <f aca="false">IF($J90&lt;&gt;1,"",MAX(0,INT((MIN(WinStart+83,$M90)-MAX($K90,$K90+ROUNDUP((WinStart-$K90)/$L90,0)*$L90))/$L90)+1))</f>
        <v/>
      </c>
      <c r="H90" s="37" t="str">
        <f aca="false">IF(AND($A90="",$B90="",$C90="",$D90="",$E90=""),"",IF($I90="","OK","Check details"))</f>
        <v/>
      </c>
      <c r="I90" s="38" t="str">
        <f aca="false">IF(AND($A90="",$B90="",$C90="",$D90="",$E90=""),"",TRIM(IF(TRIM($A90&amp;"")="","Label is missing. ","")&amp;IF($B90="","First visit is missing. ",IF(NOT(ISNUMBER($B90)),"First visit isn't a date (it's text). ",IF($B90&lt;&gt;INT($B90),"First visit has a time; enter a date only. ",IF(OR($B90&lt;DATE(2000,1,1),$B90&gt;DATE(2099,12,31)),"First visit must be from 2000 to 2099. ",""))))&amp;IF($C90="","Repeat every is missing. ",IF(ISNA(MATCH($C90&amp;"",{"Weekly","Every 2 weeks","Every 3 weeks","Every 4 weeks"},0)),"Repeat every must be Weekly or Every 2, 3 or 4 weeks. ",""))&amp;IF($D90="","Visit length is missing. ",IF(NOT(ISNUMBER($D90)),"Visit length must be a number of hours. ",IF($D90&lt;0,"Visit length can't be negative. ",IF($D90=0,"Visit length must be more than 0. ",IF(ABS($D90*100-ROUND($D90*100,0))&gt;0.000001,"Visit length: use up to 2 decimals. ",IF($D90&gt;24,"Visit length: 24 hours or less. ",""))))))&amp;IF($E90="","",IF(NOT(ISNUMBER($E90)),"Last visit isn't a date (it's text). ",IF($E90&lt;&gt;INT($E90),"Last visit has a time; enter a date only. ",IF(OR($E90&lt;DATE(2000,1,1),$E90&gt;DATE(2099,12,31)),"Last visit must be from 2000 to 2099. ",IF(AND(IF(ISNUMBER($B90),AND($B90=INT($B90),$B90&gt;=DATE(2000,1,1),$B90&lt;=DATE(2099,12,31)),FALSE()),$E90&lt;$B90),"Last visit is before the first visit. ","")))))))</f>
        <v/>
      </c>
      <c r="J90" s="39" t="n">
        <f aca="false">IF($H90="OK",1,0)</f>
        <v>0</v>
      </c>
      <c r="K90" s="40" t="n">
        <f aca="false">IF($J90=1,$B90,0)</f>
        <v>0</v>
      </c>
      <c r="L90" s="39" t="n">
        <f aca="false">IF($J90=1,7*MATCH($C90&amp;"",{"Weekly","Every 2 weeks","Every 3 weeks","Every 4 weeks"},0),7)</f>
        <v>7</v>
      </c>
      <c r="M90" s="40" t="n">
        <f aca="false">IF($J90=1,IF($E90="",2958465,$E90),0)</f>
        <v>0</v>
      </c>
      <c r="N90" s="39" t="n">
        <f aca="false">IF($J90=1,ROUND($D90*100,0),0)</f>
        <v>0</v>
      </c>
      <c r="O90" s="40" t="str">
        <f aca="false">IF($J90&lt;&gt;1,"",IF(AND((WeekMon+WEEKDAY($K90,2)-1)&gt;=$K90,MOD((WeekMon+WEEKDAY($K90,2)-1)-$K90,$L90)=0,(WeekMon+WEEKDAY($K90,2)-1)&lt;=$M90),(WeekMon+WEEKDAY($K90,2)-1),""))</f>
        <v/>
      </c>
      <c r="P90" s="39" t="str">
        <f aca="false">IF($O90="","",($O90-WeekMon)*1000+ROW()-11)</f>
        <v/>
      </c>
    </row>
    <row r="91" customFormat="false" ht="15" hidden="false" customHeight="false" outlineLevel="0" collapsed="false">
      <c r="A91" s="33"/>
      <c r="B91" s="34"/>
      <c r="C91" s="33"/>
      <c r="D91" s="35"/>
      <c r="E91" s="34"/>
      <c r="F91" s="36" t="str">
        <f aca="false">IF(IF(ISNUMBER($B91),AND($B91=INT($B91),$B91&gt;=DATE(2000,1,1),$B91&lt;=DATE(2099,12,31)),FALSE()),CHOOSE(WEEKDAY($B91,2),"Monday","Tuesday","Wednesday","Thursday","Friday","Saturday","Sunday"),"")</f>
        <v/>
      </c>
      <c r="G91" s="36" t="str">
        <f aca="false">IF($J91&lt;&gt;1,"",MAX(0,INT((MIN(WinStart+83,$M91)-MAX($K91,$K91+ROUNDUP((WinStart-$K91)/$L91,0)*$L91))/$L91)+1))</f>
        <v/>
      </c>
      <c r="H91" s="37" t="str">
        <f aca="false">IF(AND($A91="",$B91="",$C91="",$D91="",$E91=""),"",IF($I91="","OK","Check details"))</f>
        <v/>
      </c>
      <c r="I91" s="38" t="str">
        <f aca="false">IF(AND($A91="",$B91="",$C91="",$D91="",$E91=""),"",TRIM(IF(TRIM($A91&amp;"")="","Label is missing. ","")&amp;IF($B91="","First visit is missing. ",IF(NOT(ISNUMBER($B91)),"First visit isn't a date (it's text). ",IF($B91&lt;&gt;INT($B91),"First visit has a time; enter a date only. ",IF(OR($B91&lt;DATE(2000,1,1),$B91&gt;DATE(2099,12,31)),"First visit must be from 2000 to 2099. ",""))))&amp;IF($C91="","Repeat every is missing. ",IF(ISNA(MATCH($C91&amp;"",{"Weekly","Every 2 weeks","Every 3 weeks","Every 4 weeks"},0)),"Repeat every must be Weekly or Every 2, 3 or 4 weeks. ",""))&amp;IF($D91="","Visit length is missing. ",IF(NOT(ISNUMBER($D91)),"Visit length must be a number of hours. ",IF($D91&lt;0,"Visit length can't be negative. ",IF($D91=0,"Visit length must be more than 0. ",IF(ABS($D91*100-ROUND($D91*100,0))&gt;0.000001,"Visit length: use up to 2 decimals. ",IF($D91&gt;24,"Visit length: 24 hours or less. ",""))))))&amp;IF($E91="","",IF(NOT(ISNUMBER($E91)),"Last visit isn't a date (it's text). ",IF($E91&lt;&gt;INT($E91),"Last visit has a time; enter a date only. ",IF(OR($E91&lt;DATE(2000,1,1),$E91&gt;DATE(2099,12,31)),"Last visit must be from 2000 to 2099. ",IF(AND(IF(ISNUMBER($B91),AND($B91=INT($B91),$B91&gt;=DATE(2000,1,1),$B91&lt;=DATE(2099,12,31)),FALSE()),$E91&lt;$B91),"Last visit is before the first visit. ","")))))))</f>
        <v/>
      </c>
      <c r="J91" s="39" t="n">
        <f aca="false">IF($H91="OK",1,0)</f>
        <v>0</v>
      </c>
      <c r="K91" s="40" t="n">
        <f aca="false">IF($J91=1,$B91,0)</f>
        <v>0</v>
      </c>
      <c r="L91" s="39" t="n">
        <f aca="false">IF($J91=1,7*MATCH($C91&amp;"",{"Weekly","Every 2 weeks","Every 3 weeks","Every 4 weeks"},0),7)</f>
        <v>7</v>
      </c>
      <c r="M91" s="40" t="n">
        <f aca="false">IF($J91=1,IF($E91="",2958465,$E91),0)</f>
        <v>0</v>
      </c>
      <c r="N91" s="39" t="n">
        <f aca="false">IF($J91=1,ROUND($D91*100,0),0)</f>
        <v>0</v>
      </c>
      <c r="O91" s="40" t="str">
        <f aca="false">IF($J91&lt;&gt;1,"",IF(AND((WeekMon+WEEKDAY($K91,2)-1)&gt;=$K91,MOD((WeekMon+WEEKDAY($K91,2)-1)-$K91,$L91)=0,(WeekMon+WEEKDAY($K91,2)-1)&lt;=$M91),(WeekMon+WEEKDAY($K91,2)-1),""))</f>
        <v/>
      </c>
      <c r="P91" s="39" t="str">
        <f aca="false">IF($O91="","",($O91-WeekMon)*1000+ROW()-11)</f>
        <v/>
      </c>
    </row>
    <row r="92" customFormat="false" ht="15" hidden="false" customHeight="false" outlineLevel="0" collapsed="false">
      <c r="A92" s="33"/>
      <c r="B92" s="34"/>
      <c r="C92" s="33"/>
      <c r="D92" s="35"/>
      <c r="E92" s="34"/>
      <c r="F92" s="36" t="str">
        <f aca="false">IF(IF(ISNUMBER($B92),AND($B92=INT($B92),$B92&gt;=DATE(2000,1,1),$B92&lt;=DATE(2099,12,31)),FALSE()),CHOOSE(WEEKDAY($B92,2),"Monday","Tuesday","Wednesday","Thursday","Friday","Saturday","Sunday"),"")</f>
        <v/>
      </c>
      <c r="G92" s="36" t="str">
        <f aca="false">IF($J92&lt;&gt;1,"",MAX(0,INT((MIN(WinStart+83,$M92)-MAX($K92,$K92+ROUNDUP((WinStart-$K92)/$L92,0)*$L92))/$L92)+1))</f>
        <v/>
      </c>
      <c r="H92" s="37" t="str">
        <f aca="false">IF(AND($A92="",$B92="",$C92="",$D92="",$E92=""),"",IF($I92="","OK","Check details"))</f>
        <v/>
      </c>
      <c r="I92" s="38" t="str">
        <f aca="false">IF(AND($A92="",$B92="",$C92="",$D92="",$E92=""),"",TRIM(IF(TRIM($A92&amp;"")="","Label is missing. ","")&amp;IF($B92="","First visit is missing. ",IF(NOT(ISNUMBER($B92)),"First visit isn't a date (it's text). ",IF($B92&lt;&gt;INT($B92),"First visit has a time; enter a date only. ",IF(OR($B92&lt;DATE(2000,1,1),$B92&gt;DATE(2099,12,31)),"First visit must be from 2000 to 2099. ",""))))&amp;IF($C92="","Repeat every is missing. ",IF(ISNA(MATCH($C92&amp;"",{"Weekly","Every 2 weeks","Every 3 weeks","Every 4 weeks"},0)),"Repeat every must be Weekly or Every 2, 3 or 4 weeks. ",""))&amp;IF($D92="","Visit length is missing. ",IF(NOT(ISNUMBER($D92)),"Visit length must be a number of hours. ",IF($D92&lt;0,"Visit length can't be negative. ",IF($D92=0,"Visit length must be more than 0. ",IF(ABS($D92*100-ROUND($D92*100,0))&gt;0.000001,"Visit length: use up to 2 decimals. ",IF($D92&gt;24,"Visit length: 24 hours or less. ",""))))))&amp;IF($E92="","",IF(NOT(ISNUMBER($E92)),"Last visit isn't a date (it's text). ",IF($E92&lt;&gt;INT($E92),"Last visit has a time; enter a date only. ",IF(OR($E92&lt;DATE(2000,1,1),$E92&gt;DATE(2099,12,31)),"Last visit must be from 2000 to 2099. ",IF(AND(IF(ISNUMBER($B92),AND($B92=INT($B92),$B92&gt;=DATE(2000,1,1),$B92&lt;=DATE(2099,12,31)),FALSE()),$E92&lt;$B92),"Last visit is before the first visit. ","")))))))</f>
        <v/>
      </c>
      <c r="J92" s="39" t="n">
        <f aca="false">IF($H92="OK",1,0)</f>
        <v>0</v>
      </c>
      <c r="K92" s="40" t="n">
        <f aca="false">IF($J92=1,$B92,0)</f>
        <v>0</v>
      </c>
      <c r="L92" s="39" t="n">
        <f aca="false">IF($J92=1,7*MATCH($C92&amp;"",{"Weekly","Every 2 weeks","Every 3 weeks","Every 4 weeks"},0),7)</f>
        <v>7</v>
      </c>
      <c r="M92" s="40" t="n">
        <f aca="false">IF($J92=1,IF($E92="",2958465,$E92),0)</f>
        <v>0</v>
      </c>
      <c r="N92" s="39" t="n">
        <f aca="false">IF($J92=1,ROUND($D92*100,0),0)</f>
        <v>0</v>
      </c>
      <c r="O92" s="40" t="str">
        <f aca="false">IF($J92&lt;&gt;1,"",IF(AND((WeekMon+WEEKDAY($K92,2)-1)&gt;=$K92,MOD((WeekMon+WEEKDAY($K92,2)-1)-$K92,$L92)=0,(WeekMon+WEEKDAY($K92,2)-1)&lt;=$M92),(WeekMon+WEEKDAY($K92,2)-1),""))</f>
        <v/>
      </c>
      <c r="P92" s="39" t="str">
        <f aca="false">IF($O92="","",($O92-WeekMon)*1000+ROW()-11)</f>
        <v/>
      </c>
    </row>
    <row r="93" customFormat="false" ht="15" hidden="false" customHeight="false" outlineLevel="0" collapsed="false">
      <c r="A93" s="33"/>
      <c r="B93" s="34"/>
      <c r="C93" s="33"/>
      <c r="D93" s="35"/>
      <c r="E93" s="34"/>
      <c r="F93" s="36" t="str">
        <f aca="false">IF(IF(ISNUMBER($B93),AND($B93=INT($B93),$B93&gt;=DATE(2000,1,1),$B93&lt;=DATE(2099,12,31)),FALSE()),CHOOSE(WEEKDAY($B93,2),"Monday","Tuesday","Wednesday","Thursday","Friday","Saturday","Sunday"),"")</f>
        <v/>
      </c>
      <c r="G93" s="36" t="str">
        <f aca="false">IF($J93&lt;&gt;1,"",MAX(0,INT((MIN(WinStart+83,$M93)-MAX($K93,$K93+ROUNDUP((WinStart-$K93)/$L93,0)*$L93))/$L93)+1))</f>
        <v/>
      </c>
      <c r="H93" s="37" t="str">
        <f aca="false">IF(AND($A93="",$B93="",$C93="",$D93="",$E93=""),"",IF($I93="","OK","Check details"))</f>
        <v/>
      </c>
      <c r="I93" s="38" t="str">
        <f aca="false">IF(AND($A93="",$B93="",$C93="",$D93="",$E93=""),"",TRIM(IF(TRIM($A93&amp;"")="","Label is missing. ","")&amp;IF($B93="","First visit is missing. ",IF(NOT(ISNUMBER($B93)),"First visit isn't a date (it's text). ",IF($B93&lt;&gt;INT($B93),"First visit has a time; enter a date only. ",IF(OR($B93&lt;DATE(2000,1,1),$B93&gt;DATE(2099,12,31)),"First visit must be from 2000 to 2099. ",""))))&amp;IF($C93="","Repeat every is missing. ",IF(ISNA(MATCH($C93&amp;"",{"Weekly","Every 2 weeks","Every 3 weeks","Every 4 weeks"},0)),"Repeat every must be Weekly or Every 2, 3 or 4 weeks. ",""))&amp;IF($D93="","Visit length is missing. ",IF(NOT(ISNUMBER($D93)),"Visit length must be a number of hours. ",IF($D93&lt;0,"Visit length can't be negative. ",IF($D93=0,"Visit length must be more than 0. ",IF(ABS($D93*100-ROUND($D93*100,0))&gt;0.000001,"Visit length: use up to 2 decimals. ",IF($D93&gt;24,"Visit length: 24 hours or less. ",""))))))&amp;IF($E93="","",IF(NOT(ISNUMBER($E93)),"Last visit isn't a date (it's text). ",IF($E93&lt;&gt;INT($E93),"Last visit has a time; enter a date only. ",IF(OR($E93&lt;DATE(2000,1,1),$E93&gt;DATE(2099,12,31)),"Last visit must be from 2000 to 2099. ",IF(AND(IF(ISNUMBER($B93),AND($B93=INT($B93),$B93&gt;=DATE(2000,1,1),$B93&lt;=DATE(2099,12,31)),FALSE()),$E93&lt;$B93),"Last visit is before the first visit. ","")))))))</f>
        <v/>
      </c>
      <c r="J93" s="39" t="n">
        <f aca="false">IF($H93="OK",1,0)</f>
        <v>0</v>
      </c>
      <c r="K93" s="40" t="n">
        <f aca="false">IF($J93=1,$B93,0)</f>
        <v>0</v>
      </c>
      <c r="L93" s="39" t="n">
        <f aca="false">IF($J93=1,7*MATCH($C93&amp;"",{"Weekly","Every 2 weeks","Every 3 weeks","Every 4 weeks"},0),7)</f>
        <v>7</v>
      </c>
      <c r="M93" s="40" t="n">
        <f aca="false">IF($J93=1,IF($E93="",2958465,$E93),0)</f>
        <v>0</v>
      </c>
      <c r="N93" s="39" t="n">
        <f aca="false">IF($J93=1,ROUND($D93*100,0),0)</f>
        <v>0</v>
      </c>
      <c r="O93" s="40" t="str">
        <f aca="false">IF($J93&lt;&gt;1,"",IF(AND((WeekMon+WEEKDAY($K93,2)-1)&gt;=$K93,MOD((WeekMon+WEEKDAY($K93,2)-1)-$K93,$L93)=0,(WeekMon+WEEKDAY($K93,2)-1)&lt;=$M93),(WeekMon+WEEKDAY($K93,2)-1),""))</f>
        <v/>
      </c>
      <c r="P93" s="39" t="str">
        <f aca="false">IF($O93="","",($O93-WeekMon)*1000+ROW()-11)</f>
        <v/>
      </c>
    </row>
    <row r="94" customFormat="false" ht="15" hidden="false" customHeight="false" outlineLevel="0" collapsed="false">
      <c r="A94" s="33"/>
      <c r="B94" s="34"/>
      <c r="C94" s="33"/>
      <c r="D94" s="35"/>
      <c r="E94" s="34"/>
      <c r="F94" s="36" t="str">
        <f aca="false">IF(IF(ISNUMBER($B94),AND($B94=INT($B94),$B94&gt;=DATE(2000,1,1),$B94&lt;=DATE(2099,12,31)),FALSE()),CHOOSE(WEEKDAY($B94,2),"Monday","Tuesday","Wednesday","Thursday","Friday","Saturday","Sunday"),"")</f>
        <v/>
      </c>
      <c r="G94" s="36" t="str">
        <f aca="false">IF($J94&lt;&gt;1,"",MAX(0,INT((MIN(WinStart+83,$M94)-MAX($K94,$K94+ROUNDUP((WinStart-$K94)/$L94,0)*$L94))/$L94)+1))</f>
        <v/>
      </c>
      <c r="H94" s="37" t="str">
        <f aca="false">IF(AND($A94="",$B94="",$C94="",$D94="",$E94=""),"",IF($I94="","OK","Check details"))</f>
        <v/>
      </c>
      <c r="I94" s="38" t="str">
        <f aca="false">IF(AND($A94="",$B94="",$C94="",$D94="",$E94=""),"",TRIM(IF(TRIM($A94&amp;"")="","Label is missing. ","")&amp;IF($B94="","First visit is missing. ",IF(NOT(ISNUMBER($B94)),"First visit isn't a date (it's text). ",IF($B94&lt;&gt;INT($B94),"First visit has a time; enter a date only. ",IF(OR($B94&lt;DATE(2000,1,1),$B94&gt;DATE(2099,12,31)),"First visit must be from 2000 to 2099. ",""))))&amp;IF($C94="","Repeat every is missing. ",IF(ISNA(MATCH($C94&amp;"",{"Weekly","Every 2 weeks","Every 3 weeks","Every 4 weeks"},0)),"Repeat every must be Weekly or Every 2, 3 or 4 weeks. ",""))&amp;IF($D94="","Visit length is missing. ",IF(NOT(ISNUMBER($D94)),"Visit length must be a number of hours. ",IF($D94&lt;0,"Visit length can't be negative. ",IF($D94=0,"Visit length must be more than 0. ",IF(ABS($D94*100-ROUND($D94*100,0))&gt;0.000001,"Visit length: use up to 2 decimals. ",IF($D94&gt;24,"Visit length: 24 hours or less. ",""))))))&amp;IF($E94="","",IF(NOT(ISNUMBER($E94)),"Last visit isn't a date (it's text). ",IF($E94&lt;&gt;INT($E94),"Last visit has a time; enter a date only. ",IF(OR($E94&lt;DATE(2000,1,1),$E94&gt;DATE(2099,12,31)),"Last visit must be from 2000 to 2099. ",IF(AND(IF(ISNUMBER($B94),AND($B94=INT($B94),$B94&gt;=DATE(2000,1,1),$B94&lt;=DATE(2099,12,31)),FALSE()),$E94&lt;$B94),"Last visit is before the first visit. ","")))))))</f>
        <v/>
      </c>
      <c r="J94" s="39" t="n">
        <f aca="false">IF($H94="OK",1,0)</f>
        <v>0</v>
      </c>
      <c r="K94" s="40" t="n">
        <f aca="false">IF($J94=1,$B94,0)</f>
        <v>0</v>
      </c>
      <c r="L94" s="39" t="n">
        <f aca="false">IF($J94=1,7*MATCH($C94&amp;"",{"Weekly","Every 2 weeks","Every 3 weeks","Every 4 weeks"},0),7)</f>
        <v>7</v>
      </c>
      <c r="M94" s="40" t="n">
        <f aca="false">IF($J94=1,IF($E94="",2958465,$E94),0)</f>
        <v>0</v>
      </c>
      <c r="N94" s="39" t="n">
        <f aca="false">IF($J94=1,ROUND($D94*100,0),0)</f>
        <v>0</v>
      </c>
      <c r="O94" s="40" t="str">
        <f aca="false">IF($J94&lt;&gt;1,"",IF(AND((WeekMon+WEEKDAY($K94,2)-1)&gt;=$K94,MOD((WeekMon+WEEKDAY($K94,2)-1)-$K94,$L94)=0,(WeekMon+WEEKDAY($K94,2)-1)&lt;=$M94),(WeekMon+WEEKDAY($K94,2)-1),""))</f>
        <v/>
      </c>
      <c r="P94" s="39" t="str">
        <f aca="false">IF($O94="","",($O94-WeekMon)*1000+ROW()-11)</f>
        <v/>
      </c>
    </row>
    <row r="95" customFormat="false" ht="15" hidden="false" customHeight="false" outlineLevel="0" collapsed="false">
      <c r="A95" s="33"/>
      <c r="B95" s="34"/>
      <c r="C95" s="33"/>
      <c r="D95" s="35"/>
      <c r="E95" s="34"/>
      <c r="F95" s="36" t="str">
        <f aca="false">IF(IF(ISNUMBER($B95),AND($B95=INT($B95),$B95&gt;=DATE(2000,1,1),$B95&lt;=DATE(2099,12,31)),FALSE()),CHOOSE(WEEKDAY($B95,2),"Monday","Tuesday","Wednesday","Thursday","Friday","Saturday","Sunday"),"")</f>
        <v/>
      </c>
      <c r="G95" s="36" t="str">
        <f aca="false">IF($J95&lt;&gt;1,"",MAX(0,INT((MIN(WinStart+83,$M95)-MAX($K95,$K95+ROUNDUP((WinStart-$K95)/$L95,0)*$L95))/$L95)+1))</f>
        <v/>
      </c>
      <c r="H95" s="37" t="str">
        <f aca="false">IF(AND($A95="",$B95="",$C95="",$D95="",$E95=""),"",IF($I95="","OK","Check details"))</f>
        <v/>
      </c>
      <c r="I95" s="38" t="str">
        <f aca="false">IF(AND($A95="",$B95="",$C95="",$D95="",$E95=""),"",TRIM(IF(TRIM($A95&amp;"")="","Label is missing. ","")&amp;IF($B95="","First visit is missing. ",IF(NOT(ISNUMBER($B95)),"First visit isn't a date (it's text). ",IF($B95&lt;&gt;INT($B95),"First visit has a time; enter a date only. ",IF(OR($B95&lt;DATE(2000,1,1),$B95&gt;DATE(2099,12,31)),"First visit must be from 2000 to 2099. ",""))))&amp;IF($C95="","Repeat every is missing. ",IF(ISNA(MATCH($C95&amp;"",{"Weekly","Every 2 weeks","Every 3 weeks","Every 4 weeks"},0)),"Repeat every must be Weekly or Every 2, 3 or 4 weeks. ",""))&amp;IF($D95="","Visit length is missing. ",IF(NOT(ISNUMBER($D95)),"Visit length must be a number of hours. ",IF($D95&lt;0,"Visit length can't be negative. ",IF($D95=0,"Visit length must be more than 0. ",IF(ABS($D95*100-ROUND($D95*100,0))&gt;0.000001,"Visit length: use up to 2 decimals. ",IF($D95&gt;24,"Visit length: 24 hours or less. ",""))))))&amp;IF($E95="","",IF(NOT(ISNUMBER($E95)),"Last visit isn't a date (it's text). ",IF($E95&lt;&gt;INT($E95),"Last visit has a time; enter a date only. ",IF(OR($E95&lt;DATE(2000,1,1),$E95&gt;DATE(2099,12,31)),"Last visit must be from 2000 to 2099. ",IF(AND(IF(ISNUMBER($B95),AND($B95=INT($B95),$B95&gt;=DATE(2000,1,1),$B95&lt;=DATE(2099,12,31)),FALSE()),$E95&lt;$B95),"Last visit is before the first visit. ","")))))))</f>
        <v/>
      </c>
      <c r="J95" s="39" t="n">
        <f aca="false">IF($H95="OK",1,0)</f>
        <v>0</v>
      </c>
      <c r="K95" s="40" t="n">
        <f aca="false">IF($J95=1,$B95,0)</f>
        <v>0</v>
      </c>
      <c r="L95" s="39" t="n">
        <f aca="false">IF($J95=1,7*MATCH($C95&amp;"",{"Weekly","Every 2 weeks","Every 3 weeks","Every 4 weeks"},0),7)</f>
        <v>7</v>
      </c>
      <c r="M95" s="40" t="n">
        <f aca="false">IF($J95=1,IF($E95="",2958465,$E95),0)</f>
        <v>0</v>
      </c>
      <c r="N95" s="39" t="n">
        <f aca="false">IF($J95=1,ROUND($D95*100,0),0)</f>
        <v>0</v>
      </c>
      <c r="O95" s="40" t="str">
        <f aca="false">IF($J95&lt;&gt;1,"",IF(AND((WeekMon+WEEKDAY($K95,2)-1)&gt;=$K95,MOD((WeekMon+WEEKDAY($K95,2)-1)-$K95,$L95)=0,(WeekMon+WEEKDAY($K95,2)-1)&lt;=$M95),(WeekMon+WEEKDAY($K95,2)-1),""))</f>
        <v/>
      </c>
      <c r="P95" s="39" t="str">
        <f aca="false">IF($O95="","",($O95-WeekMon)*1000+ROW()-11)</f>
        <v/>
      </c>
    </row>
    <row r="96" customFormat="false" ht="15" hidden="false" customHeight="false" outlineLevel="0" collapsed="false">
      <c r="A96" s="33"/>
      <c r="B96" s="34"/>
      <c r="C96" s="33"/>
      <c r="D96" s="35"/>
      <c r="E96" s="34"/>
      <c r="F96" s="36" t="str">
        <f aca="false">IF(IF(ISNUMBER($B96),AND($B96=INT($B96),$B96&gt;=DATE(2000,1,1),$B96&lt;=DATE(2099,12,31)),FALSE()),CHOOSE(WEEKDAY($B96,2),"Monday","Tuesday","Wednesday","Thursday","Friday","Saturday","Sunday"),"")</f>
        <v/>
      </c>
      <c r="G96" s="36" t="str">
        <f aca="false">IF($J96&lt;&gt;1,"",MAX(0,INT((MIN(WinStart+83,$M96)-MAX($K96,$K96+ROUNDUP((WinStart-$K96)/$L96,0)*$L96))/$L96)+1))</f>
        <v/>
      </c>
      <c r="H96" s="37" t="str">
        <f aca="false">IF(AND($A96="",$B96="",$C96="",$D96="",$E96=""),"",IF($I96="","OK","Check details"))</f>
        <v/>
      </c>
      <c r="I96" s="38" t="str">
        <f aca="false">IF(AND($A96="",$B96="",$C96="",$D96="",$E96=""),"",TRIM(IF(TRIM($A96&amp;"")="","Label is missing. ","")&amp;IF($B96="","First visit is missing. ",IF(NOT(ISNUMBER($B96)),"First visit isn't a date (it's text). ",IF($B96&lt;&gt;INT($B96),"First visit has a time; enter a date only. ",IF(OR($B96&lt;DATE(2000,1,1),$B96&gt;DATE(2099,12,31)),"First visit must be from 2000 to 2099. ",""))))&amp;IF($C96="","Repeat every is missing. ",IF(ISNA(MATCH($C96&amp;"",{"Weekly","Every 2 weeks","Every 3 weeks","Every 4 weeks"},0)),"Repeat every must be Weekly or Every 2, 3 or 4 weeks. ",""))&amp;IF($D96="","Visit length is missing. ",IF(NOT(ISNUMBER($D96)),"Visit length must be a number of hours. ",IF($D96&lt;0,"Visit length can't be negative. ",IF($D96=0,"Visit length must be more than 0. ",IF(ABS($D96*100-ROUND($D96*100,0))&gt;0.000001,"Visit length: use up to 2 decimals. ",IF($D96&gt;24,"Visit length: 24 hours or less. ",""))))))&amp;IF($E96="","",IF(NOT(ISNUMBER($E96)),"Last visit isn't a date (it's text). ",IF($E96&lt;&gt;INT($E96),"Last visit has a time; enter a date only. ",IF(OR($E96&lt;DATE(2000,1,1),$E96&gt;DATE(2099,12,31)),"Last visit must be from 2000 to 2099. ",IF(AND(IF(ISNUMBER($B96),AND($B96=INT($B96),$B96&gt;=DATE(2000,1,1),$B96&lt;=DATE(2099,12,31)),FALSE()),$E96&lt;$B96),"Last visit is before the first visit. ","")))))))</f>
        <v/>
      </c>
      <c r="J96" s="39" t="n">
        <f aca="false">IF($H96="OK",1,0)</f>
        <v>0</v>
      </c>
      <c r="K96" s="40" t="n">
        <f aca="false">IF($J96=1,$B96,0)</f>
        <v>0</v>
      </c>
      <c r="L96" s="39" t="n">
        <f aca="false">IF($J96=1,7*MATCH($C96&amp;"",{"Weekly","Every 2 weeks","Every 3 weeks","Every 4 weeks"},0),7)</f>
        <v>7</v>
      </c>
      <c r="M96" s="40" t="n">
        <f aca="false">IF($J96=1,IF($E96="",2958465,$E96),0)</f>
        <v>0</v>
      </c>
      <c r="N96" s="39" t="n">
        <f aca="false">IF($J96=1,ROUND($D96*100,0),0)</f>
        <v>0</v>
      </c>
      <c r="O96" s="40" t="str">
        <f aca="false">IF($J96&lt;&gt;1,"",IF(AND((WeekMon+WEEKDAY($K96,2)-1)&gt;=$K96,MOD((WeekMon+WEEKDAY($K96,2)-1)-$K96,$L96)=0,(WeekMon+WEEKDAY($K96,2)-1)&lt;=$M96),(WeekMon+WEEKDAY($K96,2)-1),""))</f>
        <v/>
      </c>
      <c r="P96" s="39" t="str">
        <f aca="false">IF($O96="","",($O96-WeekMon)*1000+ROW()-11)</f>
        <v/>
      </c>
    </row>
    <row r="97" customFormat="false" ht="15" hidden="false" customHeight="false" outlineLevel="0" collapsed="false">
      <c r="A97" s="33"/>
      <c r="B97" s="34"/>
      <c r="C97" s="33"/>
      <c r="D97" s="35"/>
      <c r="E97" s="34"/>
      <c r="F97" s="36" t="str">
        <f aca="false">IF(IF(ISNUMBER($B97),AND($B97=INT($B97),$B97&gt;=DATE(2000,1,1),$B97&lt;=DATE(2099,12,31)),FALSE()),CHOOSE(WEEKDAY($B97,2),"Monday","Tuesday","Wednesday","Thursday","Friday","Saturday","Sunday"),"")</f>
        <v/>
      </c>
      <c r="G97" s="36" t="str">
        <f aca="false">IF($J97&lt;&gt;1,"",MAX(0,INT((MIN(WinStart+83,$M97)-MAX($K97,$K97+ROUNDUP((WinStart-$K97)/$L97,0)*$L97))/$L97)+1))</f>
        <v/>
      </c>
      <c r="H97" s="37" t="str">
        <f aca="false">IF(AND($A97="",$B97="",$C97="",$D97="",$E97=""),"",IF($I97="","OK","Check details"))</f>
        <v/>
      </c>
      <c r="I97" s="38" t="str">
        <f aca="false">IF(AND($A97="",$B97="",$C97="",$D97="",$E97=""),"",TRIM(IF(TRIM($A97&amp;"")="","Label is missing. ","")&amp;IF($B97="","First visit is missing. ",IF(NOT(ISNUMBER($B97)),"First visit isn't a date (it's text). ",IF($B97&lt;&gt;INT($B97),"First visit has a time; enter a date only. ",IF(OR($B97&lt;DATE(2000,1,1),$B97&gt;DATE(2099,12,31)),"First visit must be from 2000 to 2099. ",""))))&amp;IF($C97="","Repeat every is missing. ",IF(ISNA(MATCH($C97&amp;"",{"Weekly","Every 2 weeks","Every 3 weeks","Every 4 weeks"},0)),"Repeat every must be Weekly or Every 2, 3 or 4 weeks. ",""))&amp;IF($D97="","Visit length is missing. ",IF(NOT(ISNUMBER($D97)),"Visit length must be a number of hours. ",IF($D97&lt;0,"Visit length can't be negative. ",IF($D97=0,"Visit length must be more than 0. ",IF(ABS($D97*100-ROUND($D97*100,0))&gt;0.000001,"Visit length: use up to 2 decimals. ",IF($D97&gt;24,"Visit length: 24 hours or less. ",""))))))&amp;IF($E97="","",IF(NOT(ISNUMBER($E97)),"Last visit isn't a date (it's text). ",IF($E97&lt;&gt;INT($E97),"Last visit has a time; enter a date only. ",IF(OR($E97&lt;DATE(2000,1,1),$E97&gt;DATE(2099,12,31)),"Last visit must be from 2000 to 2099. ",IF(AND(IF(ISNUMBER($B97),AND($B97=INT($B97),$B97&gt;=DATE(2000,1,1),$B97&lt;=DATE(2099,12,31)),FALSE()),$E97&lt;$B97),"Last visit is before the first visit. ","")))))))</f>
        <v/>
      </c>
      <c r="J97" s="39" t="n">
        <f aca="false">IF($H97="OK",1,0)</f>
        <v>0</v>
      </c>
      <c r="K97" s="40" t="n">
        <f aca="false">IF($J97=1,$B97,0)</f>
        <v>0</v>
      </c>
      <c r="L97" s="39" t="n">
        <f aca="false">IF($J97=1,7*MATCH($C97&amp;"",{"Weekly","Every 2 weeks","Every 3 weeks","Every 4 weeks"},0),7)</f>
        <v>7</v>
      </c>
      <c r="M97" s="40" t="n">
        <f aca="false">IF($J97=1,IF($E97="",2958465,$E97),0)</f>
        <v>0</v>
      </c>
      <c r="N97" s="39" t="n">
        <f aca="false">IF($J97=1,ROUND($D97*100,0),0)</f>
        <v>0</v>
      </c>
      <c r="O97" s="40" t="str">
        <f aca="false">IF($J97&lt;&gt;1,"",IF(AND((WeekMon+WEEKDAY($K97,2)-1)&gt;=$K97,MOD((WeekMon+WEEKDAY($K97,2)-1)-$K97,$L97)=0,(WeekMon+WEEKDAY($K97,2)-1)&lt;=$M97),(WeekMon+WEEKDAY($K97,2)-1),""))</f>
        <v/>
      </c>
      <c r="P97" s="39" t="str">
        <f aca="false">IF($O97="","",($O97-WeekMon)*1000+ROW()-11)</f>
        <v/>
      </c>
    </row>
    <row r="98" customFormat="false" ht="15" hidden="false" customHeight="false" outlineLevel="0" collapsed="false">
      <c r="A98" s="33"/>
      <c r="B98" s="34"/>
      <c r="C98" s="33"/>
      <c r="D98" s="35"/>
      <c r="E98" s="34"/>
      <c r="F98" s="36" t="str">
        <f aca="false">IF(IF(ISNUMBER($B98),AND($B98=INT($B98),$B98&gt;=DATE(2000,1,1),$B98&lt;=DATE(2099,12,31)),FALSE()),CHOOSE(WEEKDAY($B98,2),"Monday","Tuesday","Wednesday","Thursday","Friday","Saturday","Sunday"),"")</f>
        <v/>
      </c>
      <c r="G98" s="36" t="str">
        <f aca="false">IF($J98&lt;&gt;1,"",MAX(0,INT((MIN(WinStart+83,$M98)-MAX($K98,$K98+ROUNDUP((WinStart-$K98)/$L98,0)*$L98))/$L98)+1))</f>
        <v/>
      </c>
      <c r="H98" s="37" t="str">
        <f aca="false">IF(AND($A98="",$B98="",$C98="",$D98="",$E98=""),"",IF($I98="","OK","Check details"))</f>
        <v/>
      </c>
      <c r="I98" s="38" t="str">
        <f aca="false">IF(AND($A98="",$B98="",$C98="",$D98="",$E98=""),"",TRIM(IF(TRIM($A98&amp;"")="","Label is missing. ","")&amp;IF($B98="","First visit is missing. ",IF(NOT(ISNUMBER($B98)),"First visit isn't a date (it's text). ",IF($B98&lt;&gt;INT($B98),"First visit has a time; enter a date only. ",IF(OR($B98&lt;DATE(2000,1,1),$B98&gt;DATE(2099,12,31)),"First visit must be from 2000 to 2099. ",""))))&amp;IF($C98="","Repeat every is missing. ",IF(ISNA(MATCH($C98&amp;"",{"Weekly","Every 2 weeks","Every 3 weeks","Every 4 weeks"},0)),"Repeat every must be Weekly or Every 2, 3 or 4 weeks. ",""))&amp;IF($D98="","Visit length is missing. ",IF(NOT(ISNUMBER($D98)),"Visit length must be a number of hours. ",IF($D98&lt;0,"Visit length can't be negative. ",IF($D98=0,"Visit length must be more than 0. ",IF(ABS($D98*100-ROUND($D98*100,0))&gt;0.000001,"Visit length: use up to 2 decimals. ",IF($D98&gt;24,"Visit length: 24 hours or less. ",""))))))&amp;IF($E98="","",IF(NOT(ISNUMBER($E98)),"Last visit isn't a date (it's text). ",IF($E98&lt;&gt;INT($E98),"Last visit has a time; enter a date only. ",IF(OR($E98&lt;DATE(2000,1,1),$E98&gt;DATE(2099,12,31)),"Last visit must be from 2000 to 2099. ",IF(AND(IF(ISNUMBER($B98),AND($B98=INT($B98),$B98&gt;=DATE(2000,1,1),$B98&lt;=DATE(2099,12,31)),FALSE()),$E98&lt;$B98),"Last visit is before the first visit. ","")))))))</f>
        <v/>
      </c>
      <c r="J98" s="39" t="n">
        <f aca="false">IF($H98="OK",1,0)</f>
        <v>0</v>
      </c>
      <c r="K98" s="40" t="n">
        <f aca="false">IF($J98=1,$B98,0)</f>
        <v>0</v>
      </c>
      <c r="L98" s="39" t="n">
        <f aca="false">IF($J98=1,7*MATCH($C98&amp;"",{"Weekly","Every 2 weeks","Every 3 weeks","Every 4 weeks"},0),7)</f>
        <v>7</v>
      </c>
      <c r="M98" s="40" t="n">
        <f aca="false">IF($J98=1,IF($E98="",2958465,$E98),0)</f>
        <v>0</v>
      </c>
      <c r="N98" s="39" t="n">
        <f aca="false">IF($J98=1,ROUND($D98*100,0),0)</f>
        <v>0</v>
      </c>
      <c r="O98" s="40" t="str">
        <f aca="false">IF($J98&lt;&gt;1,"",IF(AND((WeekMon+WEEKDAY($K98,2)-1)&gt;=$K98,MOD((WeekMon+WEEKDAY($K98,2)-1)-$K98,$L98)=0,(WeekMon+WEEKDAY($K98,2)-1)&lt;=$M98),(WeekMon+WEEKDAY($K98,2)-1),""))</f>
        <v/>
      </c>
      <c r="P98" s="39" t="str">
        <f aca="false">IF($O98="","",($O98-WeekMon)*1000+ROW()-11)</f>
        <v/>
      </c>
    </row>
    <row r="99" customFormat="false" ht="15" hidden="false" customHeight="false" outlineLevel="0" collapsed="false">
      <c r="A99" s="33"/>
      <c r="B99" s="34"/>
      <c r="C99" s="33"/>
      <c r="D99" s="35"/>
      <c r="E99" s="34"/>
      <c r="F99" s="36" t="str">
        <f aca="false">IF(IF(ISNUMBER($B99),AND($B99=INT($B99),$B99&gt;=DATE(2000,1,1),$B99&lt;=DATE(2099,12,31)),FALSE()),CHOOSE(WEEKDAY($B99,2),"Monday","Tuesday","Wednesday","Thursday","Friday","Saturday","Sunday"),"")</f>
        <v/>
      </c>
      <c r="G99" s="36" t="str">
        <f aca="false">IF($J99&lt;&gt;1,"",MAX(0,INT((MIN(WinStart+83,$M99)-MAX($K99,$K99+ROUNDUP((WinStart-$K99)/$L99,0)*$L99))/$L99)+1))</f>
        <v/>
      </c>
      <c r="H99" s="37" t="str">
        <f aca="false">IF(AND($A99="",$B99="",$C99="",$D99="",$E99=""),"",IF($I99="","OK","Check details"))</f>
        <v/>
      </c>
      <c r="I99" s="38" t="str">
        <f aca="false">IF(AND($A99="",$B99="",$C99="",$D99="",$E99=""),"",TRIM(IF(TRIM($A99&amp;"")="","Label is missing. ","")&amp;IF($B99="","First visit is missing. ",IF(NOT(ISNUMBER($B99)),"First visit isn't a date (it's text). ",IF($B99&lt;&gt;INT($B99),"First visit has a time; enter a date only. ",IF(OR($B99&lt;DATE(2000,1,1),$B99&gt;DATE(2099,12,31)),"First visit must be from 2000 to 2099. ",""))))&amp;IF($C99="","Repeat every is missing. ",IF(ISNA(MATCH($C99&amp;"",{"Weekly","Every 2 weeks","Every 3 weeks","Every 4 weeks"},0)),"Repeat every must be Weekly or Every 2, 3 or 4 weeks. ",""))&amp;IF($D99="","Visit length is missing. ",IF(NOT(ISNUMBER($D99)),"Visit length must be a number of hours. ",IF($D99&lt;0,"Visit length can't be negative. ",IF($D99=0,"Visit length must be more than 0. ",IF(ABS($D99*100-ROUND($D99*100,0))&gt;0.000001,"Visit length: use up to 2 decimals. ",IF($D99&gt;24,"Visit length: 24 hours or less. ",""))))))&amp;IF($E99="","",IF(NOT(ISNUMBER($E99)),"Last visit isn't a date (it's text). ",IF($E99&lt;&gt;INT($E99),"Last visit has a time; enter a date only. ",IF(OR($E99&lt;DATE(2000,1,1),$E99&gt;DATE(2099,12,31)),"Last visit must be from 2000 to 2099. ",IF(AND(IF(ISNUMBER($B99),AND($B99=INT($B99),$B99&gt;=DATE(2000,1,1),$B99&lt;=DATE(2099,12,31)),FALSE()),$E99&lt;$B99),"Last visit is before the first visit. ","")))))))</f>
        <v/>
      </c>
      <c r="J99" s="39" t="n">
        <f aca="false">IF($H99="OK",1,0)</f>
        <v>0</v>
      </c>
      <c r="K99" s="40" t="n">
        <f aca="false">IF($J99=1,$B99,0)</f>
        <v>0</v>
      </c>
      <c r="L99" s="39" t="n">
        <f aca="false">IF($J99=1,7*MATCH($C99&amp;"",{"Weekly","Every 2 weeks","Every 3 weeks","Every 4 weeks"},0),7)</f>
        <v>7</v>
      </c>
      <c r="M99" s="40" t="n">
        <f aca="false">IF($J99=1,IF($E99="",2958465,$E99),0)</f>
        <v>0</v>
      </c>
      <c r="N99" s="39" t="n">
        <f aca="false">IF($J99=1,ROUND($D99*100,0),0)</f>
        <v>0</v>
      </c>
      <c r="O99" s="40" t="str">
        <f aca="false">IF($J99&lt;&gt;1,"",IF(AND((WeekMon+WEEKDAY($K99,2)-1)&gt;=$K99,MOD((WeekMon+WEEKDAY($K99,2)-1)-$K99,$L99)=0,(WeekMon+WEEKDAY($K99,2)-1)&lt;=$M99),(WeekMon+WEEKDAY($K99,2)-1),""))</f>
        <v/>
      </c>
      <c r="P99" s="39" t="str">
        <f aca="false">IF($O99="","",($O99-WeekMon)*1000+ROW()-11)</f>
        <v/>
      </c>
    </row>
    <row r="100" customFormat="false" ht="15" hidden="false" customHeight="false" outlineLevel="0" collapsed="false">
      <c r="A100" s="33"/>
      <c r="B100" s="34"/>
      <c r="C100" s="33"/>
      <c r="D100" s="35"/>
      <c r="E100" s="34"/>
      <c r="F100" s="36" t="str">
        <f aca="false">IF(IF(ISNUMBER($B100),AND($B100=INT($B100),$B100&gt;=DATE(2000,1,1),$B100&lt;=DATE(2099,12,31)),FALSE()),CHOOSE(WEEKDAY($B100,2),"Monday","Tuesday","Wednesday","Thursday","Friday","Saturday","Sunday"),"")</f>
        <v/>
      </c>
      <c r="G100" s="36" t="str">
        <f aca="false">IF($J100&lt;&gt;1,"",MAX(0,INT((MIN(WinStart+83,$M100)-MAX($K100,$K100+ROUNDUP((WinStart-$K100)/$L100,0)*$L100))/$L100)+1))</f>
        <v/>
      </c>
      <c r="H100" s="37" t="str">
        <f aca="false">IF(AND($A100="",$B100="",$C100="",$D100="",$E100=""),"",IF($I100="","OK","Check details"))</f>
        <v/>
      </c>
      <c r="I100" s="38" t="str">
        <f aca="false">IF(AND($A100="",$B100="",$C100="",$D100="",$E100=""),"",TRIM(IF(TRIM($A100&amp;"")="","Label is missing. ","")&amp;IF($B100="","First visit is missing. ",IF(NOT(ISNUMBER($B100)),"First visit isn't a date (it's text). ",IF($B100&lt;&gt;INT($B100),"First visit has a time; enter a date only. ",IF(OR($B100&lt;DATE(2000,1,1),$B100&gt;DATE(2099,12,31)),"First visit must be from 2000 to 2099. ",""))))&amp;IF($C100="","Repeat every is missing. ",IF(ISNA(MATCH($C100&amp;"",{"Weekly","Every 2 weeks","Every 3 weeks","Every 4 weeks"},0)),"Repeat every must be Weekly or Every 2, 3 or 4 weeks. ",""))&amp;IF($D100="","Visit length is missing. ",IF(NOT(ISNUMBER($D100)),"Visit length must be a number of hours. ",IF($D100&lt;0,"Visit length can't be negative. ",IF($D100=0,"Visit length must be more than 0. ",IF(ABS($D100*100-ROUND($D100*100,0))&gt;0.000001,"Visit length: use up to 2 decimals. ",IF($D100&gt;24,"Visit length: 24 hours or less. ",""))))))&amp;IF($E100="","",IF(NOT(ISNUMBER($E100)),"Last visit isn't a date (it's text). ",IF($E100&lt;&gt;INT($E100),"Last visit has a time; enter a date only. ",IF(OR($E100&lt;DATE(2000,1,1),$E100&gt;DATE(2099,12,31)),"Last visit must be from 2000 to 2099. ",IF(AND(IF(ISNUMBER($B100),AND($B100=INT($B100),$B100&gt;=DATE(2000,1,1),$B100&lt;=DATE(2099,12,31)),FALSE()),$E100&lt;$B100),"Last visit is before the first visit. ","")))))))</f>
        <v/>
      </c>
      <c r="J100" s="39" t="n">
        <f aca="false">IF($H100="OK",1,0)</f>
        <v>0</v>
      </c>
      <c r="K100" s="40" t="n">
        <f aca="false">IF($J100=1,$B100,0)</f>
        <v>0</v>
      </c>
      <c r="L100" s="39" t="n">
        <f aca="false">IF($J100=1,7*MATCH($C100&amp;"",{"Weekly","Every 2 weeks","Every 3 weeks","Every 4 weeks"},0),7)</f>
        <v>7</v>
      </c>
      <c r="M100" s="40" t="n">
        <f aca="false">IF($J100=1,IF($E100="",2958465,$E100),0)</f>
        <v>0</v>
      </c>
      <c r="N100" s="39" t="n">
        <f aca="false">IF($J100=1,ROUND($D100*100,0),0)</f>
        <v>0</v>
      </c>
      <c r="O100" s="40" t="str">
        <f aca="false">IF($J100&lt;&gt;1,"",IF(AND((WeekMon+WEEKDAY($K100,2)-1)&gt;=$K100,MOD((WeekMon+WEEKDAY($K100,2)-1)-$K100,$L100)=0,(WeekMon+WEEKDAY($K100,2)-1)&lt;=$M100),(WeekMon+WEEKDAY($K100,2)-1),""))</f>
        <v/>
      </c>
      <c r="P100" s="39" t="str">
        <f aca="false">IF($O100="","",($O100-WeekMon)*1000+ROW()-11)</f>
        <v/>
      </c>
    </row>
    <row r="101" customFormat="false" ht="15" hidden="false" customHeight="false" outlineLevel="0" collapsed="false">
      <c r="A101" s="33"/>
      <c r="B101" s="34"/>
      <c r="C101" s="33"/>
      <c r="D101" s="35"/>
      <c r="E101" s="34"/>
      <c r="F101" s="36" t="str">
        <f aca="false">IF(IF(ISNUMBER($B101),AND($B101=INT($B101),$B101&gt;=DATE(2000,1,1),$B101&lt;=DATE(2099,12,31)),FALSE()),CHOOSE(WEEKDAY($B101,2),"Monday","Tuesday","Wednesday","Thursday","Friday","Saturday","Sunday"),"")</f>
        <v/>
      </c>
      <c r="G101" s="36" t="str">
        <f aca="false">IF($J101&lt;&gt;1,"",MAX(0,INT((MIN(WinStart+83,$M101)-MAX($K101,$K101+ROUNDUP((WinStart-$K101)/$L101,0)*$L101))/$L101)+1))</f>
        <v/>
      </c>
      <c r="H101" s="37" t="str">
        <f aca="false">IF(AND($A101="",$B101="",$C101="",$D101="",$E101=""),"",IF($I101="","OK","Check details"))</f>
        <v/>
      </c>
      <c r="I101" s="38" t="str">
        <f aca="false">IF(AND($A101="",$B101="",$C101="",$D101="",$E101=""),"",TRIM(IF(TRIM($A101&amp;"")="","Label is missing. ","")&amp;IF($B101="","First visit is missing. ",IF(NOT(ISNUMBER($B101)),"First visit isn't a date (it's text). ",IF($B101&lt;&gt;INT($B101),"First visit has a time; enter a date only. ",IF(OR($B101&lt;DATE(2000,1,1),$B101&gt;DATE(2099,12,31)),"First visit must be from 2000 to 2099. ",""))))&amp;IF($C101="","Repeat every is missing. ",IF(ISNA(MATCH($C101&amp;"",{"Weekly","Every 2 weeks","Every 3 weeks","Every 4 weeks"},0)),"Repeat every must be Weekly or Every 2, 3 or 4 weeks. ",""))&amp;IF($D101="","Visit length is missing. ",IF(NOT(ISNUMBER($D101)),"Visit length must be a number of hours. ",IF($D101&lt;0,"Visit length can't be negative. ",IF($D101=0,"Visit length must be more than 0. ",IF(ABS($D101*100-ROUND($D101*100,0))&gt;0.000001,"Visit length: use up to 2 decimals. ",IF($D101&gt;24,"Visit length: 24 hours or less. ",""))))))&amp;IF($E101="","",IF(NOT(ISNUMBER($E101)),"Last visit isn't a date (it's text). ",IF($E101&lt;&gt;INT($E101),"Last visit has a time; enter a date only. ",IF(OR($E101&lt;DATE(2000,1,1),$E101&gt;DATE(2099,12,31)),"Last visit must be from 2000 to 2099. ",IF(AND(IF(ISNUMBER($B101),AND($B101=INT($B101),$B101&gt;=DATE(2000,1,1),$B101&lt;=DATE(2099,12,31)),FALSE()),$E101&lt;$B101),"Last visit is before the first visit. ","")))))))</f>
        <v/>
      </c>
      <c r="J101" s="39" t="n">
        <f aca="false">IF($H101="OK",1,0)</f>
        <v>0</v>
      </c>
      <c r="K101" s="40" t="n">
        <f aca="false">IF($J101=1,$B101,0)</f>
        <v>0</v>
      </c>
      <c r="L101" s="39" t="n">
        <f aca="false">IF($J101=1,7*MATCH($C101&amp;"",{"Weekly","Every 2 weeks","Every 3 weeks","Every 4 weeks"},0),7)</f>
        <v>7</v>
      </c>
      <c r="M101" s="40" t="n">
        <f aca="false">IF($J101=1,IF($E101="",2958465,$E101),0)</f>
        <v>0</v>
      </c>
      <c r="N101" s="39" t="n">
        <f aca="false">IF($J101=1,ROUND($D101*100,0),0)</f>
        <v>0</v>
      </c>
      <c r="O101" s="40" t="str">
        <f aca="false">IF($J101&lt;&gt;1,"",IF(AND((WeekMon+WEEKDAY($K101,2)-1)&gt;=$K101,MOD((WeekMon+WEEKDAY($K101,2)-1)-$K101,$L101)=0,(WeekMon+WEEKDAY($K101,2)-1)&lt;=$M101),(WeekMon+WEEKDAY($K101,2)-1),""))</f>
        <v/>
      </c>
      <c r="P101" s="39" t="str">
        <f aca="false">IF($O101="","",($O101-WeekMon)*1000+ROW()-11)</f>
        <v/>
      </c>
    </row>
    <row r="102" customFormat="false" ht="15" hidden="false" customHeight="false" outlineLevel="0" collapsed="false">
      <c r="A102" s="33"/>
      <c r="B102" s="34"/>
      <c r="C102" s="33"/>
      <c r="D102" s="35"/>
      <c r="E102" s="34"/>
      <c r="F102" s="36" t="str">
        <f aca="false">IF(IF(ISNUMBER($B102),AND($B102=INT($B102),$B102&gt;=DATE(2000,1,1),$B102&lt;=DATE(2099,12,31)),FALSE()),CHOOSE(WEEKDAY($B102,2),"Monday","Tuesday","Wednesday","Thursday","Friday","Saturday","Sunday"),"")</f>
        <v/>
      </c>
      <c r="G102" s="36" t="str">
        <f aca="false">IF($J102&lt;&gt;1,"",MAX(0,INT((MIN(WinStart+83,$M102)-MAX($K102,$K102+ROUNDUP((WinStart-$K102)/$L102,0)*$L102))/$L102)+1))</f>
        <v/>
      </c>
      <c r="H102" s="37" t="str">
        <f aca="false">IF(AND($A102="",$B102="",$C102="",$D102="",$E102=""),"",IF($I102="","OK","Check details"))</f>
        <v/>
      </c>
      <c r="I102" s="38" t="str">
        <f aca="false">IF(AND($A102="",$B102="",$C102="",$D102="",$E102=""),"",TRIM(IF(TRIM($A102&amp;"")="","Label is missing. ","")&amp;IF($B102="","First visit is missing. ",IF(NOT(ISNUMBER($B102)),"First visit isn't a date (it's text). ",IF($B102&lt;&gt;INT($B102),"First visit has a time; enter a date only. ",IF(OR($B102&lt;DATE(2000,1,1),$B102&gt;DATE(2099,12,31)),"First visit must be from 2000 to 2099. ",""))))&amp;IF($C102="","Repeat every is missing. ",IF(ISNA(MATCH($C102&amp;"",{"Weekly","Every 2 weeks","Every 3 weeks","Every 4 weeks"},0)),"Repeat every must be Weekly or Every 2, 3 or 4 weeks. ",""))&amp;IF($D102="","Visit length is missing. ",IF(NOT(ISNUMBER($D102)),"Visit length must be a number of hours. ",IF($D102&lt;0,"Visit length can't be negative. ",IF($D102=0,"Visit length must be more than 0. ",IF(ABS($D102*100-ROUND($D102*100,0))&gt;0.000001,"Visit length: use up to 2 decimals. ",IF($D102&gt;24,"Visit length: 24 hours or less. ",""))))))&amp;IF($E102="","",IF(NOT(ISNUMBER($E102)),"Last visit isn't a date (it's text). ",IF($E102&lt;&gt;INT($E102),"Last visit has a time; enter a date only. ",IF(OR($E102&lt;DATE(2000,1,1),$E102&gt;DATE(2099,12,31)),"Last visit must be from 2000 to 2099. ",IF(AND(IF(ISNUMBER($B102),AND($B102=INT($B102),$B102&gt;=DATE(2000,1,1),$B102&lt;=DATE(2099,12,31)),FALSE()),$E102&lt;$B102),"Last visit is before the first visit. ","")))))))</f>
        <v/>
      </c>
      <c r="J102" s="39" t="n">
        <f aca="false">IF($H102="OK",1,0)</f>
        <v>0</v>
      </c>
      <c r="K102" s="40" t="n">
        <f aca="false">IF($J102=1,$B102,0)</f>
        <v>0</v>
      </c>
      <c r="L102" s="39" t="n">
        <f aca="false">IF($J102=1,7*MATCH($C102&amp;"",{"Weekly","Every 2 weeks","Every 3 weeks","Every 4 weeks"},0),7)</f>
        <v>7</v>
      </c>
      <c r="M102" s="40" t="n">
        <f aca="false">IF($J102=1,IF($E102="",2958465,$E102),0)</f>
        <v>0</v>
      </c>
      <c r="N102" s="39" t="n">
        <f aca="false">IF($J102=1,ROUND($D102*100,0),0)</f>
        <v>0</v>
      </c>
      <c r="O102" s="40" t="str">
        <f aca="false">IF($J102&lt;&gt;1,"",IF(AND((WeekMon+WEEKDAY($K102,2)-1)&gt;=$K102,MOD((WeekMon+WEEKDAY($K102,2)-1)-$K102,$L102)=0,(WeekMon+WEEKDAY($K102,2)-1)&lt;=$M102),(WeekMon+WEEKDAY($K102,2)-1),""))</f>
        <v/>
      </c>
      <c r="P102" s="39" t="str">
        <f aca="false">IF($O102="","",($O102-WeekMon)*1000+ROW()-11)</f>
        <v/>
      </c>
    </row>
    <row r="103" customFormat="false" ht="15" hidden="false" customHeight="false" outlineLevel="0" collapsed="false">
      <c r="A103" s="33"/>
      <c r="B103" s="34"/>
      <c r="C103" s="33"/>
      <c r="D103" s="35"/>
      <c r="E103" s="34"/>
      <c r="F103" s="36" t="str">
        <f aca="false">IF(IF(ISNUMBER($B103),AND($B103=INT($B103),$B103&gt;=DATE(2000,1,1),$B103&lt;=DATE(2099,12,31)),FALSE()),CHOOSE(WEEKDAY($B103,2),"Monday","Tuesday","Wednesday","Thursday","Friday","Saturday","Sunday"),"")</f>
        <v/>
      </c>
      <c r="G103" s="36" t="str">
        <f aca="false">IF($J103&lt;&gt;1,"",MAX(0,INT((MIN(WinStart+83,$M103)-MAX($K103,$K103+ROUNDUP((WinStart-$K103)/$L103,0)*$L103))/$L103)+1))</f>
        <v/>
      </c>
      <c r="H103" s="37" t="str">
        <f aca="false">IF(AND($A103="",$B103="",$C103="",$D103="",$E103=""),"",IF($I103="","OK","Check details"))</f>
        <v/>
      </c>
      <c r="I103" s="38" t="str">
        <f aca="false">IF(AND($A103="",$B103="",$C103="",$D103="",$E103=""),"",TRIM(IF(TRIM($A103&amp;"")="","Label is missing. ","")&amp;IF($B103="","First visit is missing. ",IF(NOT(ISNUMBER($B103)),"First visit isn't a date (it's text). ",IF($B103&lt;&gt;INT($B103),"First visit has a time; enter a date only. ",IF(OR($B103&lt;DATE(2000,1,1),$B103&gt;DATE(2099,12,31)),"First visit must be from 2000 to 2099. ",""))))&amp;IF($C103="","Repeat every is missing. ",IF(ISNA(MATCH($C103&amp;"",{"Weekly","Every 2 weeks","Every 3 weeks","Every 4 weeks"},0)),"Repeat every must be Weekly or Every 2, 3 or 4 weeks. ",""))&amp;IF($D103="","Visit length is missing. ",IF(NOT(ISNUMBER($D103)),"Visit length must be a number of hours. ",IF($D103&lt;0,"Visit length can't be negative. ",IF($D103=0,"Visit length must be more than 0. ",IF(ABS($D103*100-ROUND($D103*100,0))&gt;0.000001,"Visit length: use up to 2 decimals. ",IF($D103&gt;24,"Visit length: 24 hours or less. ",""))))))&amp;IF($E103="","",IF(NOT(ISNUMBER($E103)),"Last visit isn't a date (it's text). ",IF($E103&lt;&gt;INT($E103),"Last visit has a time; enter a date only. ",IF(OR($E103&lt;DATE(2000,1,1),$E103&gt;DATE(2099,12,31)),"Last visit must be from 2000 to 2099. ",IF(AND(IF(ISNUMBER($B103),AND($B103=INT($B103),$B103&gt;=DATE(2000,1,1),$B103&lt;=DATE(2099,12,31)),FALSE()),$E103&lt;$B103),"Last visit is before the first visit. ","")))))))</f>
        <v/>
      </c>
      <c r="J103" s="39" t="n">
        <f aca="false">IF($H103="OK",1,0)</f>
        <v>0</v>
      </c>
      <c r="K103" s="40" t="n">
        <f aca="false">IF($J103=1,$B103,0)</f>
        <v>0</v>
      </c>
      <c r="L103" s="39" t="n">
        <f aca="false">IF($J103=1,7*MATCH($C103&amp;"",{"Weekly","Every 2 weeks","Every 3 weeks","Every 4 weeks"},0),7)</f>
        <v>7</v>
      </c>
      <c r="M103" s="40" t="n">
        <f aca="false">IF($J103=1,IF($E103="",2958465,$E103),0)</f>
        <v>0</v>
      </c>
      <c r="N103" s="39" t="n">
        <f aca="false">IF($J103=1,ROUND($D103*100,0),0)</f>
        <v>0</v>
      </c>
      <c r="O103" s="40" t="str">
        <f aca="false">IF($J103&lt;&gt;1,"",IF(AND((WeekMon+WEEKDAY($K103,2)-1)&gt;=$K103,MOD((WeekMon+WEEKDAY($K103,2)-1)-$K103,$L103)=0,(WeekMon+WEEKDAY($K103,2)-1)&lt;=$M103),(WeekMon+WEEKDAY($K103,2)-1),""))</f>
        <v/>
      </c>
      <c r="P103" s="39" t="str">
        <f aca="false">IF($O103="","",($O103-WeekMon)*1000+ROW()-11)</f>
        <v/>
      </c>
    </row>
    <row r="104" customFormat="false" ht="15" hidden="false" customHeight="false" outlineLevel="0" collapsed="false">
      <c r="A104" s="33"/>
      <c r="B104" s="34"/>
      <c r="C104" s="33"/>
      <c r="D104" s="35"/>
      <c r="E104" s="34"/>
      <c r="F104" s="36" t="str">
        <f aca="false">IF(IF(ISNUMBER($B104),AND($B104=INT($B104),$B104&gt;=DATE(2000,1,1),$B104&lt;=DATE(2099,12,31)),FALSE()),CHOOSE(WEEKDAY($B104,2),"Monday","Tuesday","Wednesday","Thursday","Friday","Saturday","Sunday"),"")</f>
        <v/>
      </c>
      <c r="G104" s="36" t="str">
        <f aca="false">IF($J104&lt;&gt;1,"",MAX(0,INT((MIN(WinStart+83,$M104)-MAX($K104,$K104+ROUNDUP((WinStart-$K104)/$L104,0)*$L104))/$L104)+1))</f>
        <v/>
      </c>
      <c r="H104" s="37" t="str">
        <f aca="false">IF(AND($A104="",$B104="",$C104="",$D104="",$E104=""),"",IF($I104="","OK","Check details"))</f>
        <v/>
      </c>
      <c r="I104" s="38" t="str">
        <f aca="false">IF(AND($A104="",$B104="",$C104="",$D104="",$E104=""),"",TRIM(IF(TRIM($A104&amp;"")="","Label is missing. ","")&amp;IF($B104="","First visit is missing. ",IF(NOT(ISNUMBER($B104)),"First visit isn't a date (it's text). ",IF($B104&lt;&gt;INT($B104),"First visit has a time; enter a date only. ",IF(OR($B104&lt;DATE(2000,1,1),$B104&gt;DATE(2099,12,31)),"First visit must be from 2000 to 2099. ",""))))&amp;IF($C104="","Repeat every is missing. ",IF(ISNA(MATCH($C104&amp;"",{"Weekly","Every 2 weeks","Every 3 weeks","Every 4 weeks"},0)),"Repeat every must be Weekly or Every 2, 3 or 4 weeks. ",""))&amp;IF($D104="","Visit length is missing. ",IF(NOT(ISNUMBER($D104)),"Visit length must be a number of hours. ",IF($D104&lt;0,"Visit length can't be negative. ",IF($D104=0,"Visit length must be more than 0. ",IF(ABS($D104*100-ROUND($D104*100,0))&gt;0.000001,"Visit length: use up to 2 decimals. ",IF($D104&gt;24,"Visit length: 24 hours or less. ",""))))))&amp;IF($E104="","",IF(NOT(ISNUMBER($E104)),"Last visit isn't a date (it's text). ",IF($E104&lt;&gt;INT($E104),"Last visit has a time; enter a date only. ",IF(OR($E104&lt;DATE(2000,1,1),$E104&gt;DATE(2099,12,31)),"Last visit must be from 2000 to 2099. ",IF(AND(IF(ISNUMBER($B104),AND($B104=INT($B104),$B104&gt;=DATE(2000,1,1),$B104&lt;=DATE(2099,12,31)),FALSE()),$E104&lt;$B104),"Last visit is before the first visit. ","")))))))</f>
        <v/>
      </c>
      <c r="J104" s="39" t="n">
        <f aca="false">IF($H104="OK",1,0)</f>
        <v>0</v>
      </c>
      <c r="K104" s="40" t="n">
        <f aca="false">IF($J104=1,$B104,0)</f>
        <v>0</v>
      </c>
      <c r="L104" s="39" t="n">
        <f aca="false">IF($J104=1,7*MATCH($C104&amp;"",{"Weekly","Every 2 weeks","Every 3 weeks","Every 4 weeks"},0),7)</f>
        <v>7</v>
      </c>
      <c r="M104" s="40" t="n">
        <f aca="false">IF($J104=1,IF($E104="",2958465,$E104),0)</f>
        <v>0</v>
      </c>
      <c r="N104" s="39" t="n">
        <f aca="false">IF($J104=1,ROUND($D104*100,0),0)</f>
        <v>0</v>
      </c>
      <c r="O104" s="40" t="str">
        <f aca="false">IF($J104&lt;&gt;1,"",IF(AND((WeekMon+WEEKDAY($K104,2)-1)&gt;=$K104,MOD((WeekMon+WEEKDAY($K104,2)-1)-$K104,$L104)=0,(WeekMon+WEEKDAY($K104,2)-1)&lt;=$M104),(WeekMon+WEEKDAY($K104,2)-1),""))</f>
        <v/>
      </c>
      <c r="P104" s="39" t="str">
        <f aca="false">IF($O104="","",($O104-WeekMon)*1000+ROW()-11)</f>
        <v/>
      </c>
    </row>
    <row r="105" customFormat="false" ht="15" hidden="false" customHeight="false" outlineLevel="0" collapsed="false">
      <c r="A105" s="33"/>
      <c r="B105" s="34"/>
      <c r="C105" s="33"/>
      <c r="D105" s="35"/>
      <c r="E105" s="34"/>
      <c r="F105" s="36" t="str">
        <f aca="false">IF(IF(ISNUMBER($B105),AND($B105=INT($B105),$B105&gt;=DATE(2000,1,1),$B105&lt;=DATE(2099,12,31)),FALSE()),CHOOSE(WEEKDAY($B105,2),"Monday","Tuesday","Wednesday","Thursday","Friday","Saturday","Sunday"),"")</f>
        <v/>
      </c>
      <c r="G105" s="36" t="str">
        <f aca="false">IF($J105&lt;&gt;1,"",MAX(0,INT((MIN(WinStart+83,$M105)-MAX($K105,$K105+ROUNDUP((WinStart-$K105)/$L105,0)*$L105))/$L105)+1))</f>
        <v/>
      </c>
      <c r="H105" s="37" t="str">
        <f aca="false">IF(AND($A105="",$B105="",$C105="",$D105="",$E105=""),"",IF($I105="","OK","Check details"))</f>
        <v/>
      </c>
      <c r="I105" s="38" t="str">
        <f aca="false">IF(AND($A105="",$B105="",$C105="",$D105="",$E105=""),"",TRIM(IF(TRIM($A105&amp;"")="","Label is missing. ","")&amp;IF($B105="","First visit is missing. ",IF(NOT(ISNUMBER($B105)),"First visit isn't a date (it's text). ",IF($B105&lt;&gt;INT($B105),"First visit has a time; enter a date only. ",IF(OR($B105&lt;DATE(2000,1,1),$B105&gt;DATE(2099,12,31)),"First visit must be from 2000 to 2099. ",""))))&amp;IF($C105="","Repeat every is missing. ",IF(ISNA(MATCH($C105&amp;"",{"Weekly","Every 2 weeks","Every 3 weeks","Every 4 weeks"},0)),"Repeat every must be Weekly or Every 2, 3 or 4 weeks. ",""))&amp;IF($D105="","Visit length is missing. ",IF(NOT(ISNUMBER($D105)),"Visit length must be a number of hours. ",IF($D105&lt;0,"Visit length can't be negative. ",IF($D105=0,"Visit length must be more than 0. ",IF(ABS($D105*100-ROUND($D105*100,0))&gt;0.000001,"Visit length: use up to 2 decimals. ",IF($D105&gt;24,"Visit length: 24 hours or less. ",""))))))&amp;IF($E105="","",IF(NOT(ISNUMBER($E105)),"Last visit isn't a date (it's text). ",IF($E105&lt;&gt;INT($E105),"Last visit has a time; enter a date only. ",IF(OR($E105&lt;DATE(2000,1,1),$E105&gt;DATE(2099,12,31)),"Last visit must be from 2000 to 2099. ",IF(AND(IF(ISNUMBER($B105),AND($B105=INT($B105),$B105&gt;=DATE(2000,1,1),$B105&lt;=DATE(2099,12,31)),FALSE()),$E105&lt;$B105),"Last visit is before the first visit. ","")))))))</f>
        <v/>
      </c>
      <c r="J105" s="39" t="n">
        <f aca="false">IF($H105="OK",1,0)</f>
        <v>0</v>
      </c>
      <c r="K105" s="40" t="n">
        <f aca="false">IF($J105=1,$B105,0)</f>
        <v>0</v>
      </c>
      <c r="L105" s="39" t="n">
        <f aca="false">IF($J105=1,7*MATCH($C105&amp;"",{"Weekly","Every 2 weeks","Every 3 weeks","Every 4 weeks"},0),7)</f>
        <v>7</v>
      </c>
      <c r="M105" s="40" t="n">
        <f aca="false">IF($J105=1,IF($E105="",2958465,$E105),0)</f>
        <v>0</v>
      </c>
      <c r="N105" s="39" t="n">
        <f aca="false">IF($J105=1,ROUND($D105*100,0),0)</f>
        <v>0</v>
      </c>
      <c r="O105" s="40" t="str">
        <f aca="false">IF($J105&lt;&gt;1,"",IF(AND((WeekMon+WEEKDAY($K105,2)-1)&gt;=$K105,MOD((WeekMon+WEEKDAY($K105,2)-1)-$K105,$L105)=0,(WeekMon+WEEKDAY($K105,2)-1)&lt;=$M105),(WeekMon+WEEKDAY($K105,2)-1),""))</f>
        <v/>
      </c>
      <c r="P105" s="39" t="str">
        <f aca="false">IF($O105="","",($O105-WeekMon)*1000+ROW()-11)</f>
        <v/>
      </c>
    </row>
    <row r="106" customFormat="false" ht="15" hidden="false" customHeight="false" outlineLevel="0" collapsed="false">
      <c r="A106" s="33"/>
      <c r="B106" s="34"/>
      <c r="C106" s="33"/>
      <c r="D106" s="35"/>
      <c r="E106" s="34"/>
      <c r="F106" s="36" t="str">
        <f aca="false">IF(IF(ISNUMBER($B106),AND($B106=INT($B106),$B106&gt;=DATE(2000,1,1),$B106&lt;=DATE(2099,12,31)),FALSE()),CHOOSE(WEEKDAY($B106,2),"Monday","Tuesday","Wednesday","Thursday","Friday","Saturday","Sunday"),"")</f>
        <v/>
      </c>
      <c r="G106" s="36" t="str">
        <f aca="false">IF($J106&lt;&gt;1,"",MAX(0,INT((MIN(WinStart+83,$M106)-MAX($K106,$K106+ROUNDUP((WinStart-$K106)/$L106,0)*$L106))/$L106)+1))</f>
        <v/>
      </c>
      <c r="H106" s="37" t="str">
        <f aca="false">IF(AND($A106="",$B106="",$C106="",$D106="",$E106=""),"",IF($I106="","OK","Check details"))</f>
        <v/>
      </c>
      <c r="I106" s="38" t="str">
        <f aca="false">IF(AND($A106="",$B106="",$C106="",$D106="",$E106=""),"",TRIM(IF(TRIM($A106&amp;"")="","Label is missing. ","")&amp;IF($B106="","First visit is missing. ",IF(NOT(ISNUMBER($B106)),"First visit isn't a date (it's text). ",IF($B106&lt;&gt;INT($B106),"First visit has a time; enter a date only. ",IF(OR($B106&lt;DATE(2000,1,1),$B106&gt;DATE(2099,12,31)),"First visit must be from 2000 to 2099. ",""))))&amp;IF($C106="","Repeat every is missing. ",IF(ISNA(MATCH($C106&amp;"",{"Weekly","Every 2 weeks","Every 3 weeks","Every 4 weeks"},0)),"Repeat every must be Weekly or Every 2, 3 or 4 weeks. ",""))&amp;IF($D106="","Visit length is missing. ",IF(NOT(ISNUMBER($D106)),"Visit length must be a number of hours. ",IF($D106&lt;0,"Visit length can't be negative. ",IF($D106=0,"Visit length must be more than 0. ",IF(ABS($D106*100-ROUND($D106*100,0))&gt;0.000001,"Visit length: use up to 2 decimals. ",IF($D106&gt;24,"Visit length: 24 hours or less. ",""))))))&amp;IF($E106="","",IF(NOT(ISNUMBER($E106)),"Last visit isn't a date (it's text). ",IF($E106&lt;&gt;INT($E106),"Last visit has a time; enter a date only. ",IF(OR($E106&lt;DATE(2000,1,1),$E106&gt;DATE(2099,12,31)),"Last visit must be from 2000 to 2099. ",IF(AND(IF(ISNUMBER($B106),AND($B106=INT($B106),$B106&gt;=DATE(2000,1,1),$B106&lt;=DATE(2099,12,31)),FALSE()),$E106&lt;$B106),"Last visit is before the first visit. ","")))))))</f>
        <v/>
      </c>
      <c r="J106" s="39" t="n">
        <f aca="false">IF($H106="OK",1,0)</f>
        <v>0</v>
      </c>
      <c r="K106" s="40" t="n">
        <f aca="false">IF($J106=1,$B106,0)</f>
        <v>0</v>
      </c>
      <c r="L106" s="39" t="n">
        <f aca="false">IF($J106=1,7*MATCH($C106&amp;"",{"Weekly","Every 2 weeks","Every 3 weeks","Every 4 weeks"},0),7)</f>
        <v>7</v>
      </c>
      <c r="M106" s="40" t="n">
        <f aca="false">IF($J106=1,IF($E106="",2958465,$E106),0)</f>
        <v>0</v>
      </c>
      <c r="N106" s="39" t="n">
        <f aca="false">IF($J106=1,ROUND($D106*100,0),0)</f>
        <v>0</v>
      </c>
      <c r="O106" s="40" t="str">
        <f aca="false">IF($J106&lt;&gt;1,"",IF(AND((WeekMon+WEEKDAY($K106,2)-1)&gt;=$K106,MOD((WeekMon+WEEKDAY($K106,2)-1)-$K106,$L106)=0,(WeekMon+WEEKDAY($K106,2)-1)&lt;=$M106),(WeekMon+WEEKDAY($K106,2)-1),""))</f>
        <v/>
      </c>
      <c r="P106" s="39" t="str">
        <f aca="false">IF($O106="","",($O106-WeekMon)*1000+ROW()-11)</f>
        <v/>
      </c>
    </row>
    <row r="107" customFormat="false" ht="15" hidden="false" customHeight="false" outlineLevel="0" collapsed="false">
      <c r="A107" s="33"/>
      <c r="B107" s="34"/>
      <c r="C107" s="33"/>
      <c r="D107" s="35"/>
      <c r="E107" s="34"/>
      <c r="F107" s="36" t="str">
        <f aca="false">IF(IF(ISNUMBER($B107),AND($B107=INT($B107),$B107&gt;=DATE(2000,1,1),$B107&lt;=DATE(2099,12,31)),FALSE()),CHOOSE(WEEKDAY($B107,2),"Monday","Tuesday","Wednesday","Thursday","Friday","Saturday","Sunday"),"")</f>
        <v/>
      </c>
      <c r="G107" s="36" t="str">
        <f aca="false">IF($J107&lt;&gt;1,"",MAX(0,INT((MIN(WinStart+83,$M107)-MAX($K107,$K107+ROUNDUP((WinStart-$K107)/$L107,0)*$L107))/$L107)+1))</f>
        <v/>
      </c>
      <c r="H107" s="37" t="str">
        <f aca="false">IF(AND($A107="",$B107="",$C107="",$D107="",$E107=""),"",IF($I107="","OK","Check details"))</f>
        <v/>
      </c>
      <c r="I107" s="38" t="str">
        <f aca="false">IF(AND($A107="",$B107="",$C107="",$D107="",$E107=""),"",TRIM(IF(TRIM($A107&amp;"")="","Label is missing. ","")&amp;IF($B107="","First visit is missing. ",IF(NOT(ISNUMBER($B107)),"First visit isn't a date (it's text). ",IF($B107&lt;&gt;INT($B107),"First visit has a time; enter a date only. ",IF(OR($B107&lt;DATE(2000,1,1),$B107&gt;DATE(2099,12,31)),"First visit must be from 2000 to 2099. ",""))))&amp;IF($C107="","Repeat every is missing. ",IF(ISNA(MATCH($C107&amp;"",{"Weekly","Every 2 weeks","Every 3 weeks","Every 4 weeks"},0)),"Repeat every must be Weekly or Every 2, 3 or 4 weeks. ",""))&amp;IF($D107="","Visit length is missing. ",IF(NOT(ISNUMBER($D107)),"Visit length must be a number of hours. ",IF($D107&lt;0,"Visit length can't be negative. ",IF($D107=0,"Visit length must be more than 0. ",IF(ABS($D107*100-ROUND($D107*100,0))&gt;0.000001,"Visit length: use up to 2 decimals. ",IF($D107&gt;24,"Visit length: 24 hours or less. ",""))))))&amp;IF($E107="","",IF(NOT(ISNUMBER($E107)),"Last visit isn't a date (it's text). ",IF($E107&lt;&gt;INT($E107),"Last visit has a time; enter a date only. ",IF(OR($E107&lt;DATE(2000,1,1),$E107&gt;DATE(2099,12,31)),"Last visit must be from 2000 to 2099. ",IF(AND(IF(ISNUMBER($B107),AND($B107=INT($B107),$B107&gt;=DATE(2000,1,1),$B107&lt;=DATE(2099,12,31)),FALSE()),$E107&lt;$B107),"Last visit is before the first visit. ","")))))))</f>
        <v/>
      </c>
      <c r="J107" s="39" t="n">
        <f aca="false">IF($H107="OK",1,0)</f>
        <v>0</v>
      </c>
      <c r="K107" s="40" t="n">
        <f aca="false">IF($J107=1,$B107,0)</f>
        <v>0</v>
      </c>
      <c r="L107" s="39" t="n">
        <f aca="false">IF($J107=1,7*MATCH($C107&amp;"",{"Weekly","Every 2 weeks","Every 3 weeks","Every 4 weeks"},0),7)</f>
        <v>7</v>
      </c>
      <c r="M107" s="40" t="n">
        <f aca="false">IF($J107=1,IF($E107="",2958465,$E107),0)</f>
        <v>0</v>
      </c>
      <c r="N107" s="39" t="n">
        <f aca="false">IF($J107=1,ROUND($D107*100,0),0)</f>
        <v>0</v>
      </c>
      <c r="O107" s="40" t="str">
        <f aca="false">IF($J107&lt;&gt;1,"",IF(AND((WeekMon+WEEKDAY($K107,2)-1)&gt;=$K107,MOD((WeekMon+WEEKDAY($K107,2)-1)-$K107,$L107)=0,(WeekMon+WEEKDAY($K107,2)-1)&lt;=$M107),(WeekMon+WEEKDAY($K107,2)-1),""))</f>
        <v/>
      </c>
      <c r="P107" s="39" t="str">
        <f aca="false">IF($O107="","",($O107-WeekMon)*1000+ROW()-11)</f>
        <v/>
      </c>
    </row>
    <row r="108" customFormat="false" ht="15" hidden="false" customHeight="false" outlineLevel="0" collapsed="false">
      <c r="A108" s="33"/>
      <c r="B108" s="34"/>
      <c r="C108" s="33"/>
      <c r="D108" s="35"/>
      <c r="E108" s="34"/>
      <c r="F108" s="36" t="str">
        <f aca="false">IF(IF(ISNUMBER($B108),AND($B108=INT($B108),$B108&gt;=DATE(2000,1,1),$B108&lt;=DATE(2099,12,31)),FALSE()),CHOOSE(WEEKDAY($B108,2),"Monday","Tuesday","Wednesday","Thursday","Friday","Saturday","Sunday"),"")</f>
        <v/>
      </c>
      <c r="G108" s="36" t="str">
        <f aca="false">IF($J108&lt;&gt;1,"",MAX(0,INT((MIN(WinStart+83,$M108)-MAX($K108,$K108+ROUNDUP((WinStart-$K108)/$L108,0)*$L108))/$L108)+1))</f>
        <v/>
      </c>
      <c r="H108" s="37" t="str">
        <f aca="false">IF(AND($A108="",$B108="",$C108="",$D108="",$E108=""),"",IF($I108="","OK","Check details"))</f>
        <v/>
      </c>
      <c r="I108" s="38" t="str">
        <f aca="false">IF(AND($A108="",$B108="",$C108="",$D108="",$E108=""),"",TRIM(IF(TRIM($A108&amp;"")="","Label is missing. ","")&amp;IF($B108="","First visit is missing. ",IF(NOT(ISNUMBER($B108)),"First visit isn't a date (it's text). ",IF($B108&lt;&gt;INT($B108),"First visit has a time; enter a date only. ",IF(OR($B108&lt;DATE(2000,1,1),$B108&gt;DATE(2099,12,31)),"First visit must be from 2000 to 2099. ",""))))&amp;IF($C108="","Repeat every is missing. ",IF(ISNA(MATCH($C108&amp;"",{"Weekly","Every 2 weeks","Every 3 weeks","Every 4 weeks"},0)),"Repeat every must be Weekly or Every 2, 3 or 4 weeks. ",""))&amp;IF($D108="","Visit length is missing. ",IF(NOT(ISNUMBER($D108)),"Visit length must be a number of hours. ",IF($D108&lt;0,"Visit length can't be negative. ",IF($D108=0,"Visit length must be more than 0. ",IF(ABS($D108*100-ROUND($D108*100,0))&gt;0.000001,"Visit length: use up to 2 decimals. ",IF($D108&gt;24,"Visit length: 24 hours or less. ",""))))))&amp;IF($E108="","",IF(NOT(ISNUMBER($E108)),"Last visit isn't a date (it's text). ",IF($E108&lt;&gt;INT($E108),"Last visit has a time; enter a date only. ",IF(OR($E108&lt;DATE(2000,1,1),$E108&gt;DATE(2099,12,31)),"Last visit must be from 2000 to 2099. ",IF(AND(IF(ISNUMBER($B108),AND($B108=INT($B108),$B108&gt;=DATE(2000,1,1),$B108&lt;=DATE(2099,12,31)),FALSE()),$E108&lt;$B108),"Last visit is before the first visit. ","")))))))</f>
        <v/>
      </c>
      <c r="J108" s="39" t="n">
        <f aca="false">IF($H108="OK",1,0)</f>
        <v>0</v>
      </c>
      <c r="K108" s="40" t="n">
        <f aca="false">IF($J108=1,$B108,0)</f>
        <v>0</v>
      </c>
      <c r="L108" s="39" t="n">
        <f aca="false">IF($J108=1,7*MATCH($C108&amp;"",{"Weekly","Every 2 weeks","Every 3 weeks","Every 4 weeks"},0),7)</f>
        <v>7</v>
      </c>
      <c r="M108" s="40" t="n">
        <f aca="false">IF($J108=1,IF($E108="",2958465,$E108),0)</f>
        <v>0</v>
      </c>
      <c r="N108" s="39" t="n">
        <f aca="false">IF($J108=1,ROUND($D108*100,0),0)</f>
        <v>0</v>
      </c>
      <c r="O108" s="40" t="str">
        <f aca="false">IF($J108&lt;&gt;1,"",IF(AND((WeekMon+WEEKDAY($K108,2)-1)&gt;=$K108,MOD((WeekMon+WEEKDAY($K108,2)-1)-$K108,$L108)=0,(WeekMon+WEEKDAY($K108,2)-1)&lt;=$M108),(WeekMon+WEEKDAY($K108,2)-1),""))</f>
        <v/>
      </c>
      <c r="P108" s="39" t="str">
        <f aca="false">IF($O108="","",($O108-WeekMon)*1000+ROW()-11)</f>
        <v/>
      </c>
    </row>
    <row r="109" customFormat="false" ht="15" hidden="false" customHeight="false" outlineLevel="0" collapsed="false">
      <c r="A109" s="33"/>
      <c r="B109" s="34"/>
      <c r="C109" s="33"/>
      <c r="D109" s="35"/>
      <c r="E109" s="34"/>
      <c r="F109" s="36" t="str">
        <f aca="false">IF(IF(ISNUMBER($B109),AND($B109=INT($B109),$B109&gt;=DATE(2000,1,1),$B109&lt;=DATE(2099,12,31)),FALSE()),CHOOSE(WEEKDAY($B109,2),"Monday","Tuesday","Wednesday","Thursday","Friday","Saturday","Sunday"),"")</f>
        <v/>
      </c>
      <c r="G109" s="36" t="str">
        <f aca="false">IF($J109&lt;&gt;1,"",MAX(0,INT((MIN(WinStart+83,$M109)-MAX($K109,$K109+ROUNDUP((WinStart-$K109)/$L109,0)*$L109))/$L109)+1))</f>
        <v/>
      </c>
      <c r="H109" s="37" t="str">
        <f aca="false">IF(AND($A109="",$B109="",$C109="",$D109="",$E109=""),"",IF($I109="","OK","Check details"))</f>
        <v/>
      </c>
      <c r="I109" s="38" t="str">
        <f aca="false">IF(AND($A109="",$B109="",$C109="",$D109="",$E109=""),"",TRIM(IF(TRIM($A109&amp;"")="","Label is missing. ","")&amp;IF($B109="","First visit is missing. ",IF(NOT(ISNUMBER($B109)),"First visit isn't a date (it's text). ",IF($B109&lt;&gt;INT($B109),"First visit has a time; enter a date only. ",IF(OR($B109&lt;DATE(2000,1,1),$B109&gt;DATE(2099,12,31)),"First visit must be from 2000 to 2099. ",""))))&amp;IF($C109="","Repeat every is missing. ",IF(ISNA(MATCH($C109&amp;"",{"Weekly","Every 2 weeks","Every 3 weeks","Every 4 weeks"},0)),"Repeat every must be Weekly or Every 2, 3 or 4 weeks. ",""))&amp;IF($D109="","Visit length is missing. ",IF(NOT(ISNUMBER($D109)),"Visit length must be a number of hours. ",IF($D109&lt;0,"Visit length can't be negative. ",IF($D109=0,"Visit length must be more than 0. ",IF(ABS($D109*100-ROUND($D109*100,0))&gt;0.000001,"Visit length: use up to 2 decimals. ",IF($D109&gt;24,"Visit length: 24 hours or less. ",""))))))&amp;IF($E109="","",IF(NOT(ISNUMBER($E109)),"Last visit isn't a date (it's text). ",IF($E109&lt;&gt;INT($E109),"Last visit has a time; enter a date only. ",IF(OR($E109&lt;DATE(2000,1,1),$E109&gt;DATE(2099,12,31)),"Last visit must be from 2000 to 2099. ",IF(AND(IF(ISNUMBER($B109),AND($B109=INT($B109),$B109&gt;=DATE(2000,1,1),$B109&lt;=DATE(2099,12,31)),FALSE()),$E109&lt;$B109),"Last visit is before the first visit. ","")))))))</f>
        <v/>
      </c>
      <c r="J109" s="39" t="n">
        <f aca="false">IF($H109="OK",1,0)</f>
        <v>0</v>
      </c>
      <c r="K109" s="40" t="n">
        <f aca="false">IF($J109=1,$B109,0)</f>
        <v>0</v>
      </c>
      <c r="L109" s="39" t="n">
        <f aca="false">IF($J109=1,7*MATCH($C109&amp;"",{"Weekly","Every 2 weeks","Every 3 weeks","Every 4 weeks"},0),7)</f>
        <v>7</v>
      </c>
      <c r="M109" s="40" t="n">
        <f aca="false">IF($J109=1,IF($E109="",2958465,$E109),0)</f>
        <v>0</v>
      </c>
      <c r="N109" s="39" t="n">
        <f aca="false">IF($J109=1,ROUND($D109*100,0),0)</f>
        <v>0</v>
      </c>
      <c r="O109" s="40" t="str">
        <f aca="false">IF($J109&lt;&gt;1,"",IF(AND((WeekMon+WEEKDAY($K109,2)-1)&gt;=$K109,MOD((WeekMon+WEEKDAY($K109,2)-1)-$K109,$L109)=0,(WeekMon+WEEKDAY($K109,2)-1)&lt;=$M109),(WeekMon+WEEKDAY($K109,2)-1),""))</f>
        <v/>
      </c>
      <c r="P109" s="39" t="str">
        <f aca="false">IF($O109="","",($O109-WeekMon)*1000+ROW()-11)</f>
        <v/>
      </c>
    </row>
    <row r="110" customFormat="false" ht="15" hidden="false" customHeight="false" outlineLevel="0" collapsed="false">
      <c r="A110" s="33"/>
      <c r="B110" s="34"/>
      <c r="C110" s="33"/>
      <c r="D110" s="35"/>
      <c r="E110" s="34"/>
      <c r="F110" s="36" t="str">
        <f aca="false">IF(IF(ISNUMBER($B110),AND($B110=INT($B110),$B110&gt;=DATE(2000,1,1),$B110&lt;=DATE(2099,12,31)),FALSE()),CHOOSE(WEEKDAY($B110,2),"Monday","Tuesday","Wednesday","Thursday","Friday","Saturday","Sunday"),"")</f>
        <v/>
      </c>
      <c r="G110" s="36" t="str">
        <f aca="false">IF($J110&lt;&gt;1,"",MAX(0,INT((MIN(WinStart+83,$M110)-MAX($K110,$K110+ROUNDUP((WinStart-$K110)/$L110,0)*$L110))/$L110)+1))</f>
        <v/>
      </c>
      <c r="H110" s="37" t="str">
        <f aca="false">IF(AND($A110="",$B110="",$C110="",$D110="",$E110=""),"",IF($I110="","OK","Check details"))</f>
        <v/>
      </c>
      <c r="I110" s="38" t="str">
        <f aca="false">IF(AND($A110="",$B110="",$C110="",$D110="",$E110=""),"",TRIM(IF(TRIM($A110&amp;"")="","Label is missing. ","")&amp;IF($B110="","First visit is missing. ",IF(NOT(ISNUMBER($B110)),"First visit isn't a date (it's text). ",IF($B110&lt;&gt;INT($B110),"First visit has a time; enter a date only. ",IF(OR($B110&lt;DATE(2000,1,1),$B110&gt;DATE(2099,12,31)),"First visit must be from 2000 to 2099. ",""))))&amp;IF($C110="","Repeat every is missing. ",IF(ISNA(MATCH($C110&amp;"",{"Weekly","Every 2 weeks","Every 3 weeks","Every 4 weeks"},0)),"Repeat every must be Weekly or Every 2, 3 or 4 weeks. ",""))&amp;IF($D110="","Visit length is missing. ",IF(NOT(ISNUMBER($D110)),"Visit length must be a number of hours. ",IF($D110&lt;0,"Visit length can't be negative. ",IF($D110=0,"Visit length must be more than 0. ",IF(ABS($D110*100-ROUND($D110*100,0))&gt;0.000001,"Visit length: use up to 2 decimals. ",IF($D110&gt;24,"Visit length: 24 hours or less. ",""))))))&amp;IF($E110="","",IF(NOT(ISNUMBER($E110)),"Last visit isn't a date (it's text). ",IF($E110&lt;&gt;INT($E110),"Last visit has a time; enter a date only. ",IF(OR($E110&lt;DATE(2000,1,1),$E110&gt;DATE(2099,12,31)),"Last visit must be from 2000 to 2099. ",IF(AND(IF(ISNUMBER($B110),AND($B110=INT($B110),$B110&gt;=DATE(2000,1,1),$B110&lt;=DATE(2099,12,31)),FALSE()),$E110&lt;$B110),"Last visit is before the first visit. ","")))))))</f>
        <v/>
      </c>
      <c r="J110" s="39" t="n">
        <f aca="false">IF($H110="OK",1,0)</f>
        <v>0</v>
      </c>
      <c r="K110" s="40" t="n">
        <f aca="false">IF($J110=1,$B110,0)</f>
        <v>0</v>
      </c>
      <c r="L110" s="39" t="n">
        <f aca="false">IF($J110=1,7*MATCH($C110&amp;"",{"Weekly","Every 2 weeks","Every 3 weeks","Every 4 weeks"},0),7)</f>
        <v>7</v>
      </c>
      <c r="M110" s="40" t="n">
        <f aca="false">IF($J110=1,IF($E110="",2958465,$E110),0)</f>
        <v>0</v>
      </c>
      <c r="N110" s="39" t="n">
        <f aca="false">IF($J110=1,ROUND($D110*100,0),0)</f>
        <v>0</v>
      </c>
      <c r="O110" s="40" t="str">
        <f aca="false">IF($J110&lt;&gt;1,"",IF(AND((WeekMon+WEEKDAY($K110,2)-1)&gt;=$K110,MOD((WeekMon+WEEKDAY($K110,2)-1)-$K110,$L110)=0,(WeekMon+WEEKDAY($K110,2)-1)&lt;=$M110),(WeekMon+WEEKDAY($K110,2)-1),""))</f>
        <v/>
      </c>
      <c r="P110" s="39" t="str">
        <f aca="false">IF($O110="","",($O110-WeekMon)*1000+ROW()-11)</f>
        <v/>
      </c>
    </row>
    <row r="111" customFormat="false" ht="15" hidden="false" customHeight="false" outlineLevel="0" collapsed="false">
      <c r="A111" s="33"/>
      <c r="B111" s="34"/>
      <c r="C111" s="33"/>
      <c r="D111" s="35"/>
      <c r="E111" s="34"/>
      <c r="F111" s="36" t="str">
        <f aca="false">IF(IF(ISNUMBER($B111),AND($B111=INT($B111),$B111&gt;=DATE(2000,1,1),$B111&lt;=DATE(2099,12,31)),FALSE()),CHOOSE(WEEKDAY($B111,2),"Monday","Tuesday","Wednesday","Thursday","Friday","Saturday","Sunday"),"")</f>
        <v/>
      </c>
      <c r="G111" s="36" t="str">
        <f aca="false">IF($J111&lt;&gt;1,"",MAX(0,INT((MIN(WinStart+83,$M111)-MAX($K111,$K111+ROUNDUP((WinStart-$K111)/$L111,0)*$L111))/$L111)+1))</f>
        <v/>
      </c>
      <c r="H111" s="37" t="str">
        <f aca="false">IF(AND($A111="",$B111="",$C111="",$D111="",$E111=""),"",IF($I111="","OK","Check details"))</f>
        <v/>
      </c>
      <c r="I111" s="38" t="str">
        <f aca="false">IF(AND($A111="",$B111="",$C111="",$D111="",$E111=""),"",TRIM(IF(TRIM($A111&amp;"")="","Label is missing. ","")&amp;IF($B111="","First visit is missing. ",IF(NOT(ISNUMBER($B111)),"First visit isn't a date (it's text). ",IF($B111&lt;&gt;INT($B111),"First visit has a time; enter a date only. ",IF(OR($B111&lt;DATE(2000,1,1),$B111&gt;DATE(2099,12,31)),"First visit must be from 2000 to 2099. ",""))))&amp;IF($C111="","Repeat every is missing. ",IF(ISNA(MATCH($C111&amp;"",{"Weekly","Every 2 weeks","Every 3 weeks","Every 4 weeks"},0)),"Repeat every must be Weekly or Every 2, 3 or 4 weeks. ",""))&amp;IF($D111="","Visit length is missing. ",IF(NOT(ISNUMBER($D111)),"Visit length must be a number of hours. ",IF($D111&lt;0,"Visit length can't be negative. ",IF($D111=0,"Visit length must be more than 0. ",IF(ABS($D111*100-ROUND($D111*100,0))&gt;0.000001,"Visit length: use up to 2 decimals. ",IF($D111&gt;24,"Visit length: 24 hours or less. ",""))))))&amp;IF($E111="","",IF(NOT(ISNUMBER($E111)),"Last visit isn't a date (it's text). ",IF($E111&lt;&gt;INT($E111),"Last visit has a time; enter a date only. ",IF(OR($E111&lt;DATE(2000,1,1),$E111&gt;DATE(2099,12,31)),"Last visit must be from 2000 to 2099. ",IF(AND(IF(ISNUMBER($B111),AND($B111=INT($B111),$B111&gt;=DATE(2000,1,1),$B111&lt;=DATE(2099,12,31)),FALSE()),$E111&lt;$B111),"Last visit is before the first visit. ","")))))))</f>
        <v/>
      </c>
      <c r="J111" s="39" t="n">
        <f aca="false">IF($H111="OK",1,0)</f>
        <v>0</v>
      </c>
      <c r="K111" s="40" t="n">
        <f aca="false">IF($J111=1,$B111,0)</f>
        <v>0</v>
      </c>
      <c r="L111" s="39" t="n">
        <f aca="false">IF($J111=1,7*MATCH($C111&amp;"",{"Weekly","Every 2 weeks","Every 3 weeks","Every 4 weeks"},0),7)</f>
        <v>7</v>
      </c>
      <c r="M111" s="40" t="n">
        <f aca="false">IF($J111=1,IF($E111="",2958465,$E111),0)</f>
        <v>0</v>
      </c>
      <c r="N111" s="39" t="n">
        <f aca="false">IF($J111=1,ROUND($D111*100,0),0)</f>
        <v>0</v>
      </c>
      <c r="O111" s="40" t="str">
        <f aca="false">IF($J111&lt;&gt;1,"",IF(AND((WeekMon+WEEKDAY($K111,2)-1)&gt;=$K111,MOD((WeekMon+WEEKDAY($K111,2)-1)-$K111,$L111)=0,(WeekMon+WEEKDAY($K111,2)-1)&lt;=$M111),(WeekMon+WEEKDAY($K111,2)-1),""))</f>
        <v/>
      </c>
      <c r="P111" s="39" t="str">
        <f aca="false">IF($O111="","",($O111-WeekMon)*1000+ROW()-11)</f>
        <v/>
      </c>
    </row>
    <row r="112" customFormat="false" ht="15" hidden="false" customHeight="false" outlineLevel="0" collapsed="false">
      <c r="A112" s="33"/>
      <c r="B112" s="34"/>
      <c r="C112" s="33"/>
      <c r="D112" s="35"/>
      <c r="E112" s="34"/>
      <c r="F112" s="36" t="str">
        <f aca="false">IF(IF(ISNUMBER($B112),AND($B112=INT($B112),$B112&gt;=DATE(2000,1,1),$B112&lt;=DATE(2099,12,31)),FALSE()),CHOOSE(WEEKDAY($B112,2),"Monday","Tuesday","Wednesday","Thursday","Friday","Saturday","Sunday"),"")</f>
        <v/>
      </c>
      <c r="G112" s="36" t="str">
        <f aca="false">IF($J112&lt;&gt;1,"",MAX(0,INT((MIN(WinStart+83,$M112)-MAX($K112,$K112+ROUNDUP((WinStart-$K112)/$L112,0)*$L112))/$L112)+1))</f>
        <v/>
      </c>
      <c r="H112" s="37" t="str">
        <f aca="false">IF(AND($A112="",$B112="",$C112="",$D112="",$E112=""),"",IF($I112="","OK","Check details"))</f>
        <v/>
      </c>
      <c r="I112" s="38" t="str">
        <f aca="false">IF(AND($A112="",$B112="",$C112="",$D112="",$E112=""),"",TRIM(IF(TRIM($A112&amp;"")="","Label is missing. ","")&amp;IF($B112="","First visit is missing. ",IF(NOT(ISNUMBER($B112)),"First visit isn't a date (it's text). ",IF($B112&lt;&gt;INT($B112),"First visit has a time; enter a date only. ",IF(OR($B112&lt;DATE(2000,1,1),$B112&gt;DATE(2099,12,31)),"First visit must be from 2000 to 2099. ",""))))&amp;IF($C112="","Repeat every is missing. ",IF(ISNA(MATCH($C112&amp;"",{"Weekly","Every 2 weeks","Every 3 weeks","Every 4 weeks"},0)),"Repeat every must be Weekly or Every 2, 3 or 4 weeks. ",""))&amp;IF($D112="","Visit length is missing. ",IF(NOT(ISNUMBER($D112)),"Visit length must be a number of hours. ",IF($D112&lt;0,"Visit length can't be negative. ",IF($D112=0,"Visit length must be more than 0. ",IF(ABS($D112*100-ROUND($D112*100,0))&gt;0.000001,"Visit length: use up to 2 decimals. ",IF($D112&gt;24,"Visit length: 24 hours or less. ",""))))))&amp;IF($E112="","",IF(NOT(ISNUMBER($E112)),"Last visit isn't a date (it's text). ",IF($E112&lt;&gt;INT($E112),"Last visit has a time; enter a date only. ",IF(OR($E112&lt;DATE(2000,1,1),$E112&gt;DATE(2099,12,31)),"Last visit must be from 2000 to 2099. ",IF(AND(IF(ISNUMBER($B112),AND($B112=INT($B112),$B112&gt;=DATE(2000,1,1),$B112&lt;=DATE(2099,12,31)),FALSE()),$E112&lt;$B112),"Last visit is before the first visit. ","")))))))</f>
        <v/>
      </c>
      <c r="J112" s="39" t="n">
        <f aca="false">IF($H112="OK",1,0)</f>
        <v>0</v>
      </c>
      <c r="K112" s="40" t="n">
        <f aca="false">IF($J112=1,$B112,0)</f>
        <v>0</v>
      </c>
      <c r="L112" s="39" t="n">
        <f aca="false">IF($J112=1,7*MATCH($C112&amp;"",{"Weekly","Every 2 weeks","Every 3 weeks","Every 4 weeks"},0),7)</f>
        <v>7</v>
      </c>
      <c r="M112" s="40" t="n">
        <f aca="false">IF($J112=1,IF($E112="",2958465,$E112),0)</f>
        <v>0</v>
      </c>
      <c r="N112" s="39" t="n">
        <f aca="false">IF($J112=1,ROUND($D112*100,0),0)</f>
        <v>0</v>
      </c>
      <c r="O112" s="40" t="str">
        <f aca="false">IF($J112&lt;&gt;1,"",IF(AND((WeekMon+WEEKDAY($K112,2)-1)&gt;=$K112,MOD((WeekMon+WEEKDAY($K112,2)-1)-$K112,$L112)=0,(WeekMon+WEEKDAY($K112,2)-1)&lt;=$M112),(WeekMon+WEEKDAY($K112,2)-1),""))</f>
        <v/>
      </c>
      <c r="P112" s="39" t="str">
        <f aca="false">IF($O112="","",($O112-WeekMon)*1000+ROW()-11)</f>
        <v/>
      </c>
    </row>
    <row r="113" customFormat="false" ht="15" hidden="false" customHeight="false" outlineLevel="0" collapsed="false">
      <c r="A113" s="33"/>
      <c r="B113" s="34"/>
      <c r="C113" s="33"/>
      <c r="D113" s="35"/>
      <c r="E113" s="34"/>
      <c r="F113" s="36" t="str">
        <f aca="false">IF(IF(ISNUMBER($B113),AND($B113=INT($B113),$B113&gt;=DATE(2000,1,1),$B113&lt;=DATE(2099,12,31)),FALSE()),CHOOSE(WEEKDAY($B113,2),"Monday","Tuesday","Wednesday","Thursday","Friday","Saturday","Sunday"),"")</f>
        <v/>
      </c>
      <c r="G113" s="36" t="str">
        <f aca="false">IF($J113&lt;&gt;1,"",MAX(0,INT((MIN(WinStart+83,$M113)-MAX($K113,$K113+ROUNDUP((WinStart-$K113)/$L113,0)*$L113))/$L113)+1))</f>
        <v/>
      </c>
      <c r="H113" s="37" t="str">
        <f aca="false">IF(AND($A113="",$B113="",$C113="",$D113="",$E113=""),"",IF($I113="","OK","Check details"))</f>
        <v/>
      </c>
      <c r="I113" s="38" t="str">
        <f aca="false">IF(AND($A113="",$B113="",$C113="",$D113="",$E113=""),"",TRIM(IF(TRIM($A113&amp;"")="","Label is missing. ","")&amp;IF($B113="","First visit is missing. ",IF(NOT(ISNUMBER($B113)),"First visit isn't a date (it's text). ",IF($B113&lt;&gt;INT($B113),"First visit has a time; enter a date only. ",IF(OR($B113&lt;DATE(2000,1,1),$B113&gt;DATE(2099,12,31)),"First visit must be from 2000 to 2099. ",""))))&amp;IF($C113="","Repeat every is missing. ",IF(ISNA(MATCH($C113&amp;"",{"Weekly","Every 2 weeks","Every 3 weeks","Every 4 weeks"},0)),"Repeat every must be Weekly or Every 2, 3 or 4 weeks. ",""))&amp;IF($D113="","Visit length is missing. ",IF(NOT(ISNUMBER($D113)),"Visit length must be a number of hours. ",IF($D113&lt;0,"Visit length can't be negative. ",IF($D113=0,"Visit length must be more than 0. ",IF(ABS($D113*100-ROUND($D113*100,0))&gt;0.000001,"Visit length: use up to 2 decimals. ",IF($D113&gt;24,"Visit length: 24 hours or less. ",""))))))&amp;IF($E113="","",IF(NOT(ISNUMBER($E113)),"Last visit isn't a date (it's text). ",IF($E113&lt;&gt;INT($E113),"Last visit has a time; enter a date only. ",IF(OR($E113&lt;DATE(2000,1,1),$E113&gt;DATE(2099,12,31)),"Last visit must be from 2000 to 2099. ",IF(AND(IF(ISNUMBER($B113),AND($B113=INT($B113),$B113&gt;=DATE(2000,1,1),$B113&lt;=DATE(2099,12,31)),FALSE()),$E113&lt;$B113),"Last visit is before the first visit. ","")))))))</f>
        <v/>
      </c>
      <c r="J113" s="39" t="n">
        <f aca="false">IF($H113="OK",1,0)</f>
        <v>0</v>
      </c>
      <c r="K113" s="40" t="n">
        <f aca="false">IF($J113=1,$B113,0)</f>
        <v>0</v>
      </c>
      <c r="L113" s="39" t="n">
        <f aca="false">IF($J113=1,7*MATCH($C113&amp;"",{"Weekly","Every 2 weeks","Every 3 weeks","Every 4 weeks"},0),7)</f>
        <v>7</v>
      </c>
      <c r="M113" s="40" t="n">
        <f aca="false">IF($J113=1,IF($E113="",2958465,$E113),0)</f>
        <v>0</v>
      </c>
      <c r="N113" s="39" t="n">
        <f aca="false">IF($J113=1,ROUND($D113*100,0),0)</f>
        <v>0</v>
      </c>
      <c r="O113" s="40" t="str">
        <f aca="false">IF($J113&lt;&gt;1,"",IF(AND((WeekMon+WEEKDAY($K113,2)-1)&gt;=$K113,MOD((WeekMon+WEEKDAY($K113,2)-1)-$K113,$L113)=0,(WeekMon+WEEKDAY($K113,2)-1)&lt;=$M113),(WeekMon+WEEKDAY($K113,2)-1),""))</f>
        <v/>
      </c>
      <c r="P113" s="39" t="str">
        <f aca="false">IF($O113="","",($O113-WeekMon)*1000+ROW()-11)</f>
        <v/>
      </c>
    </row>
    <row r="114" customFormat="false" ht="15" hidden="false" customHeight="false" outlineLevel="0" collapsed="false">
      <c r="A114" s="33"/>
      <c r="B114" s="34"/>
      <c r="C114" s="33"/>
      <c r="D114" s="35"/>
      <c r="E114" s="34"/>
      <c r="F114" s="36" t="str">
        <f aca="false">IF(IF(ISNUMBER($B114),AND($B114=INT($B114),$B114&gt;=DATE(2000,1,1),$B114&lt;=DATE(2099,12,31)),FALSE()),CHOOSE(WEEKDAY($B114,2),"Monday","Tuesday","Wednesday","Thursday","Friday","Saturday","Sunday"),"")</f>
        <v/>
      </c>
      <c r="G114" s="36" t="str">
        <f aca="false">IF($J114&lt;&gt;1,"",MAX(0,INT((MIN(WinStart+83,$M114)-MAX($K114,$K114+ROUNDUP((WinStart-$K114)/$L114,0)*$L114))/$L114)+1))</f>
        <v/>
      </c>
      <c r="H114" s="37" t="str">
        <f aca="false">IF(AND($A114="",$B114="",$C114="",$D114="",$E114=""),"",IF($I114="","OK","Check details"))</f>
        <v/>
      </c>
      <c r="I114" s="38" t="str">
        <f aca="false">IF(AND($A114="",$B114="",$C114="",$D114="",$E114=""),"",TRIM(IF(TRIM($A114&amp;"")="","Label is missing. ","")&amp;IF($B114="","First visit is missing. ",IF(NOT(ISNUMBER($B114)),"First visit isn't a date (it's text). ",IF($B114&lt;&gt;INT($B114),"First visit has a time; enter a date only. ",IF(OR($B114&lt;DATE(2000,1,1),$B114&gt;DATE(2099,12,31)),"First visit must be from 2000 to 2099. ",""))))&amp;IF($C114="","Repeat every is missing. ",IF(ISNA(MATCH($C114&amp;"",{"Weekly","Every 2 weeks","Every 3 weeks","Every 4 weeks"},0)),"Repeat every must be Weekly or Every 2, 3 or 4 weeks. ",""))&amp;IF($D114="","Visit length is missing. ",IF(NOT(ISNUMBER($D114)),"Visit length must be a number of hours. ",IF($D114&lt;0,"Visit length can't be negative. ",IF($D114=0,"Visit length must be more than 0. ",IF(ABS($D114*100-ROUND($D114*100,0))&gt;0.000001,"Visit length: use up to 2 decimals. ",IF($D114&gt;24,"Visit length: 24 hours or less. ",""))))))&amp;IF($E114="","",IF(NOT(ISNUMBER($E114)),"Last visit isn't a date (it's text). ",IF($E114&lt;&gt;INT($E114),"Last visit has a time; enter a date only. ",IF(OR($E114&lt;DATE(2000,1,1),$E114&gt;DATE(2099,12,31)),"Last visit must be from 2000 to 2099. ",IF(AND(IF(ISNUMBER($B114),AND($B114=INT($B114),$B114&gt;=DATE(2000,1,1),$B114&lt;=DATE(2099,12,31)),FALSE()),$E114&lt;$B114),"Last visit is before the first visit. ","")))))))</f>
        <v/>
      </c>
      <c r="J114" s="39" t="n">
        <f aca="false">IF($H114="OK",1,0)</f>
        <v>0</v>
      </c>
      <c r="K114" s="40" t="n">
        <f aca="false">IF($J114=1,$B114,0)</f>
        <v>0</v>
      </c>
      <c r="L114" s="39" t="n">
        <f aca="false">IF($J114=1,7*MATCH($C114&amp;"",{"Weekly","Every 2 weeks","Every 3 weeks","Every 4 weeks"},0),7)</f>
        <v>7</v>
      </c>
      <c r="M114" s="40" t="n">
        <f aca="false">IF($J114=1,IF($E114="",2958465,$E114),0)</f>
        <v>0</v>
      </c>
      <c r="N114" s="39" t="n">
        <f aca="false">IF($J114=1,ROUND($D114*100,0),0)</f>
        <v>0</v>
      </c>
      <c r="O114" s="40" t="str">
        <f aca="false">IF($J114&lt;&gt;1,"",IF(AND((WeekMon+WEEKDAY($K114,2)-1)&gt;=$K114,MOD((WeekMon+WEEKDAY($K114,2)-1)-$K114,$L114)=0,(WeekMon+WEEKDAY($K114,2)-1)&lt;=$M114),(WeekMon+WEEKDAY($K114,2)-1),""))</f>
        <v/>
      </c>
      <c r="P114" s="39" t="str">
        <f aca="false">IF($O114="","",($O114-WeekMon)*1000+ROW()-11)</f>
        <v/>
      </c>
    </row>
    <row r="115" customFormat="false" ht="15" hidden="false" customHeight="false" outlineLevel="0" collapsed="false">
      <c r="A115" s="33"/>
      <c r="B115" s="34"/>
      <c r="C115" s="33"/>
      <c r="D115" s="35"/>
      <c r="E115" s="34"/>
      <c r="F115" s="36" t="str">
        <f aca="false">IF(IF(ISNUMBER($B115),AND($B115=INT($B115),$B115&gt;=DATE(2000,1,1),$B115&lt;=DATE(2099,12,31)),FALSE()),CHOOSE(WEEKDAY($B115,2),"Monday","Tuesday","Wednesday","Thursday","Friday","Saturday","Sunday"),"")</f>
        <v/>
      </c>
      <c r="G115" s="36" t="str">
        <f aca="false">IF($J115&lt;&gt;1,"",MAX(0,INT((MIN(WinStart+83,$M115)-MAX($K115,$K115+ROUNDUP((WinStart-$K115)/$L115,0)*$L115))/$L115)+1))</f>
        <v/>
      </c>
      <c r="H115" s="37" t="str">
        <f aca="false">IF(AND($A115="",$B115="",$C115="",$D115="",$E115=""),"",IF($I115="","OK","Check details"))</f>
        <v/>
      </c>
      <c r="I115" s="38" t="str">
        <f aca="false">IF(AND($A115="",$B115="",$C115="",$D115="",$E115=""),"",TRIM(IF(TRIM($A115&amp;"")="","Label is missing. ","")&amp;IF($B115="","First visit is missing. ",IF(NOT(ISNUMBER($B115)),"First visit isn't a date (it's text). ",IF($B115&lt;&gt;INT($B115),"First visit has a time; enter a date only. ",IF(OR($B115&lt;DATE(2000,1,1),$B115&gt;DATE(2099,12,31)),"First visit must be from 2000 to 2099. ",""))))&amp;IF($C115="","Repeat every is missing. ",IF(ISNA(MATCH($C115&amp;"",{"Weekly","Every 2 weeks","Every 3 weeks","Every 4 weeks"},0)),"Repeat every must be Weekly or Every 2, 3 or 4 weeks. ",""))&amp;IF($D115="","Visit length is missing. ",IF(NOT(ISNUMBER($D115)),"Visit length must be a number of hours. ",IF($D115&lt;0,"Visit length can't be negative. ",IF($D115=0,"Visit length must be more than 0. ",IF(ABS($D115*100-ROUND($D115*100,0))&gt;0.000001,"Visit length: use up to 2 decimals. ",IF($D115&gt;24,"Visit length: 24 hours or less. ",""))))))&amp;IF($E115="","",IF(NOT(ISNUMBER($E115)),"Last visit isn't a date (it's text). ",IF($E115&lt;&gt;INT($E115),"Last visit has a time; enter a date only. ",IF(OR($E115&lt;DATE(2000,1,1),$E115&gt;DATE(2099,12,31)),"Last visit must be from 2000 to 2099. ",IF(AND(IF(ISNUMBER($B115),AND($B115=INT($B115),$B115&gt;=DATE(2000,1,1),$B115&lt;=DATE(2099,12,31)),FALSE()),$E115&lt;$B115),"Last visit is before the first visit. ","")))))))</f>
        <v/>
      </c>
      <c r="J115" s="39" t="n">
        <f aca="false">IF($H115="OK",1,0)</f>
        <v>0</v>
      </c>
      <c r="K115" s="40" t="n">
        <f aca="false">IF($J115=1,$B115,0)</f>
        <v>0</v>
      </c>
      <c r="L115" s="39" t="n">
        <f aca="false">IF($J115=1,7*MATCH($C115&amp;"",{"Weekly","Every 2 weeks","Every 3 weeks","Every 4 weeks"},0),7)</f>
        <v>7</v>
      </c>
      <c r="M115" s="40" t="n">
        <f aca="false">IF($J115=1,IF($E115="",2958465,$E115),0)</f>
        <v>0</v>
      </c>
      <c r="N115" s="39" t="n">
        <f aca="false">IF($J115=1,ROUND($D115*100,0),0)</f>
        <v>0</v>
      </c>
      <c r="O115" s="40" t="str">
        <f aca="false">IF($J115&lt;&gt;1,"",IF(AND((WeekMon+WEEKDAY($K115,2)-1)&gt;=$K115,MOD((WeekMon+WEEKDAY($K115,2)-1)-$K115,$L115)=0,(WeekMon+WEEKDAY($K115,2)-1)&lt;=$M115),(WeekMon+WEEKDAY($K115,2)-1),""))</f>
        <v/>
      </c>
      <c r="P115" s="39" t="str">
        <f aca="false">IF($O115="","",($O115-WeekMon)*1000+ROW()-11)</f>
        <v/>
      </c>
    </row>
    <row r="116" customFormat="false" ht="15" hidden="false" customHeight="false" outlineLevel="0" collapsed="false">
      <c r="A116" s="33"/>
      <c r="B116" s="34"/>
      <c r="C116" s="33"/>
      <c r="D116" s="35"/>
      <c r="E116" s="34"/>
      <c r="F116" s="36" t="str">
        <f aca="false">IF(IF(ISNUMBER($B116),AND($B116=INT($B116),$B116&gt;=DATE(2000,1,1),$B116&lt;=DATE(2099,12,31)),FALSE()),CHOOSE(WEEKDAY($B116,2),"Monday","Tuesday","Wednesday","Thursday","Friday","Saturday","Sunday"),"")</f>
        <v/>
      </c>
      <c r="G116" s="36" t="str">
        <f aca="false">IF($J116&lt;&gt;1,"",MAX(0,INT((MIN(WinStart+83,$M116)-MAX($K116,$K116+ROUNDUP((WinStart-$K116)/$L116,0)*$L116))/$L116)+1))</f>
        <v/>
      </c>
      <c r="H116" s="37" t="str">
        <f aca="false">IF(AND($A116="",$B116="",$C116="",$D116="",$E116=""),"",IF($I116="","OK","Check details"))</f>
        <v/>
      </c>
      <c r="I116" s="38" t="str">
        <f aca="false">IF(AND($A116="",$B116="",$C116="",$D116="",$E116=""),"",TRIM(IF(TRIM($A116&amp;"")="","Label is missing. ","")&amp;IF($B116="","First visit is missing. ",IF(NOT(ISNUMBER($B116)),"First visit isn't a date (it's text). ",IF($B116&lt;&gt;INT($B116),"First visit has a time; enter a date only. ",IF(OR($B116&lt;DATE(2000,1,1),$B116&gt;DATE(2099,12,31)),"First visit must be from 2000 to 2099. ",""))))&amp;IF($C116="","Repeat every is missing. ",IF(ISNA(MATCH($C116&amp;"",{"Weekly","Every 2 weeks","Every 3 weeks","Every 4 weeks"},0)),"Repeat every must be Weekly or Every 2, 3 or 4 weeks. ",""))&amp;IF($D116="","Visit length is missing. ",IF(NOT(ISNUMBER($D116)),"Visit length must be a number of hours. ",IF($D116&lt;0,"Visit length can't be negative. ",IF($D116=0,"Visit length must be more than 0. ",IF(ABS($D116*100-ROUND($D116*100,0))&gt;0.000001,"Visit length: use up to 2 decimals. ",IF($D116&gt;24,"Visit length: 24 hours or less. ",""))))))&amp;IF($E116="","",IF(NOT(ISNUMBER($E116)),"Last visit isn't a date (it's text). ",IF($E116&lt;&gt;INT($E116),"Last visit has a time; enter a date only. ",IF(OR($E116&lt;DATE(2000,1,1),$E116&gt;DATE(2099,12,31)),"Last visit must be from 2000 to 2099. ",IF(AND(IF(ISNUMBER($B116),AND($B116=INT($B116),$B116&gt;=DATE(2000,1,1),$B116&lt;=DATE(2099,12,31)),FALSE()),$E116&lt;$B116),"Last visit is before the first visit. ","")))))))</f>
        <v/>
      </c>
      <c r="J116" s="39" t="n">
        <f aca="false">IF($H116="OK",1,0)</f>
        <v>0</v>
      </c>
      <c r="K116" s="40" t="n">
        <f aca="false">IF($J116=1,$B116,0)</f>
        <v>0</v>
      </c>
      <c r="L116" s="39" t="n">
        <f aca="false">IF($J116=1,7*MATCH($C116&amp;"",{"Weekly","Every 2 weeks","Every 3 weeks","Every 4 weeks"},0),7)</f>
        <v>7</v>
      </c>
      <c r="M116" s="40" t="n">
        <f aca="false">IF($J116=1,IF($E116="",2958465,$E116),0)</f>
        <v>0</v>
      </c>
      <c r="N116" s="39" t="n">
        <f aca="false">IF($J116=1,ROUND($D116*100,0),0)</f>
        <v>0</v>
      </c>
      <c r="O116" s="40" t="str">
        <f aca="false">IF($J116&lt;&gt;1,"",IF(AND((WeekMon+WEEKDAY($K116,2)-1)&gt;=$K116,MOD((WeekMon+WEEKDAY($K116,2)-1)-$K116,$L116)=0,(WeekMon+WEEKDAY($K116,2)-1)&lt;=$M116),(WeekMon+WEEKDAY($K116,2)-1),""))</f>
        <v/>
      </c>
      <c r="P116" s="39" t="str">
        <f aca="false">IF($O116="","",($O116-WeekMon)*1000+ROW()-11)</f>
        <v/>
      </c>
    </row>
    <row r="117" customFormat="false" ht="15" hidden="false" customHeight="false" outlineLevel="0" collapsed="false">
      <c r="A117" s="33"/>
      <c r="B117" s="34"/>
      <c r="C117" s="33"/>
      <c r="D117" s="35"/>
      <c r="E117" s="34"/>
      <c r="F117" s="36" t="str">
        <f aca="false">IF(IF(ISNUMBER($B117),AND($B117=INT($B117),$B117&gt;=DATE(2000,1,1),$B117&lt;=DATE(2099,12,31)),FALSE()),CHOOSE(WEEKDAY($B117,2),"Monday","Tuesday","Wednesday","Thursday","Friday","Saturday","Sunday"),"")</f>
        <v/>
      </c>
      <c r="G117" s="36" t="str">
        <f aca="false">IF($J117&lt;&gt;1,"",MAX(0,INT((MIN(WinStart+83,$M117)-MAX($K117,$K117+ROUNDUP((WinStart-$K117)/$L117,0)*$L117))/$L117)+1))</f>
        <v/>
      </c>
      <c r="H117" s="37" t="str">
        <f aca="false">IF(AND($A117="",$B117="",$C117="",$D117="",$E117=""),"",IF($I117="","OK","Check details"))</f>
        <v/>
      </c>
      <c r="I117" s="38" t="str">
        <f aca="false">IF(AND($A117="",$B117="",$C117="",$D117="",$E117=""),"",TRIM(IF(TRIM($A117&amp;"")="","Label is missing. ","")&amp;IF($B117="","First visit is missing. ",IF(NOT(ISNUMBER($B117)),"First visit isn't a date (it's text). ",IF($B117&lt;&gt;INT($B117),"First visit has a time; enter a date only. ",IF(OR($B117&lt;DATE(2000,1,1),$B117&gt;DATE(2099,12,31)),"First visit must be from 2000 to 2099. ",""))))&amp;IF($C117="","Repeat every is missing. ",IF(ISNA(MATCH($C117&amp;"",{"Weekly","Every 2 weeks","Every 3 weeks","Every 4 weeks"},0)),"Repeat every must be Weekly or Every 2, 3 or 4 weeks. ",""))&amp;IF($D117="","Visit length is missing. ",IF(NOT(ISNUMBER($D117)),"Visit length must be a number of hours. ",IF($D117&lt;0,"Visit length can't be negative. ",IF($D117=0,"Visit length must be more than 0. ",IF(ABS($D117*100-ROUND($D117*100,0))&gt;0.000001,"Visit length: use up to 2 decimals. ",IF($D117&gt;24,"Visit length: 24 hours or less. ",""))))))&amp;IF($E117="","",IF(NOT(ISNUMBER($E117)),"Last visit isn't a date (it's text). ",IF($E117&lt;&gt;INT($E117),"Last visit has a time; enter a date only. ",IF(OR($E117&lt;DATE(2000,1,1),$E117&gt;DATE(2099,12,31)),"Last visit must be from 2000 to 2099. ",IF(AND(IF(ISNUMBER($B117),AND($B117=INT($B117),$B117&gt;=DATE(2000,1,1),$B117&lt;=DATE(2099,12,31)),FALSE()),$E117&lt;$B117),"Last visit is before the first visit. ","")))))))</f>
        <v/>
      </c>
      <c r="J117" s="39" t="n">
        <f aca="false">IF($H117="OK",1,0)</f>
        <v>0</v>
      </c>
      <c r="K117" s="40" t="n">
        <f aca="false">IF($J117=1,$B117,0)</f>
        <v>0</v>
      </c>
      <c r="L117" s="39" t="n">
        <f aca="false">IF($J117=1,7*MATCH($C117&amp;"",{"Weekly","Every 2 weeks","Every 3 weeks","Every 4 weeks"},0),7)</f>
        <v>7</v>
      </c>
      <c r="M117" s="40" t="n">
        <f aca="false">IF($J117=1,IF($E117="",2958465,$E117),0)</f>
        <v>0</v>
      </c>
      <c r="N117" s="39" t="n">
        <f aca="false">IF($J117=1,ROUND($D117*100,0),0)</f>
        <v>0</v>
      </c>
      <c r="O117" s="40" t="str">
        <f aca="false">IF($J117&lt;&gt;1,"",IF(AND((WeekMon+WEEKDAY($K117,2)-1)&gt;=$K117,MOD((WeekMon+WEEKDAY($K117,2)-1)-$K117,$L117)=0,(WeekMon+WEEKDAY($K117,2)-1)&lt;=$M117),(WeekMon+WEEKDAY($K117,2)-1),""))</f>
        <v/>
      </c>
      <c r="P117" s="39" t="str">
        <f aca="false">IF($O117="","",($O117-WeekMon)*1000+ROW()-11)</f>
        <v/>
      </c>
    </row>
    <row r="118" customFormat="false" ht="15" hidden="false" customHeight="false" outlineLevel="0" collapsed="false">
      <c r="A118" s="33"/>
      <c r="B118" s="34"/>
      <c r="C118" s="33"/>
      <c r="D118" s="35"/>
      <c r="E118" s="34"/>
      <c r="F118" s="36" t="str">
        <f aca="false">IF(IF(ISNUMBER($B118),AND($B118=INT($B118),$B118&gt;=DATE(2000,1,1),$B118&lt;=DATE(2099,12,31)),FALSE()),CHOOSE(WEEKDAY($B118,2),"Monday","Tuesday","Wednesday","Thursday","Friday","Saturday","Sunday"),"")</f>
        <v/>
      </c>
      <c r="G118" s="36" t="str">
        <f aca="false">IF($J118&lt;&gt;1,"",MAX(0,INT((MIN(WinStart+83,$M118)-MAX($K118,$K118+ROUNDUP((WinStart-$K118)/$L118,0)*$L118))/$L118)+1))</f>
        <v/>
      </c>
      <c r="H118" s="37" t="str">
        <f aca="false">IF(AND($A118="",$B118="",$C118="",$D118="",$E118=""),"",IF($I118="","OK","Check details"))</f>
        <v/>
      </c>
      <c r="I118" s="38" t="str">
        <f aca="false">IF(AND($A118="",$B118="",$C118="",$D118="",$E118=""),"",TRIM(IF(TRIM($A118&amp;"")="","Label is missing. ","")&amp;IF($B118="","First visit is missing. ",IF(NOT(ISNUMBER($B118)),"First visit isn't a date (it's text). ",IF($B118&lt;&gt;INT($B118),"First visit has a time; enter a date only. ",IF(OR($B118&lt;DATE(2000,1,1),$B118&gt;DATE(2099,12,31)),"First visit must be from 2000 to 2099. ",""))))&amp;IF($C118="","Repeat every is missing. ",IF(ISNA(MATCH($C118&amp;"",{"Weekly","Every 2 weeks","Every 3 weeks","Every 4 weeks"},0)),"Repeat every must be Weekly or Every 2, 3 or 4 weeks. ",""))&amp;IF($D118="","Visit length is missing. ",IF(NOT(ISNUMBER($D118)),"Visit length must be a number of hours. ",IF($D118&lt;0,"Visit length can't be negative. ",IF($D118=0,"Visit length must be more than 0. ",IF(ABS($D118*100-ROUND($D118*100,0))&gt;0.000001,"Visit length: use up to 2 decimals. ",IF($D118&gt;24,"Visit length: 24 hours or less. ",""))))))&amp;IF($E118="","",IF(NOT(ISNUMBER($E118)),"Last visit isn't a date (it's text). ",IF($E118&lt;&gt;INT($E118),"Last visit has a time; enter a date only. ",IF(OR($E118&lt;DATE(2000,1,1),$E118&gt;DATE(2099,12,31)),"Last visit must be from 2000 to 2099. ",IF(AND(IF(ISNUMBER($B118),AND($B118=INT($B118),$B118&gt;=DATE(2000,1,1),$B118&lt;=DATE(2099,12,31)),FALSE()),$E118&lt;$B118),"Last visit is before the first visit. ","")))))))</f>
        <v/>
      </c>
      <c r="J118" s="39" t="n">
        <f aca="false">IF($H118="OK",1,0)</f>
        <v>0</v>
      </c>
      <c r="K118" s="40" t="n">
        <f aca="false">IF($J118=1,$B118,0)</f>
        <v>0</v>
      </c>
      <c r="L118" s="39" t="n">
        <f aca="false">IF($J118=1,7*MATCH($C118&amp;"",{"Weekly","Every 2 weeks","Every 3 weeks","Every 4 weeks"},0),7)</f>
        <v>7</v>
      </c>
      <c r="M118" s="40" t="n">
        <f aca="false">IF($J118=1,IF($E118="",2958465,$E118),0)</f>
        <v>0</v>
      </c>
      <c r="N118" s="39" t="n">
        <f aca="false">IF($J118=1,ROUND($D118*100,0),0)</f>
        <v>0</v>
      </c>
      <c r="O118" s="40" t="str">
        <f aca="false">IF($J118&lt;&gt;1,"",IF(AND((WeekMon+WEEKDAY($K118,2)-1)&gt;=$K118,MOD((WeekMon+WEEKDAY($K118,2)-1)-$K118,$L118)=0,(WeekMon+WEEKDAY($K118,2)-1)&lt;=$M118),(WeekMon+WEEKDAY($K118,2)-1),""))</f>
        <v/>
      </c>
      <c r="P118" s="39" t="str">
        <f aca="false">IF($O118="","",($O118-WeekMon)*1000+ROW()-11)</f>
        <v/>
      </c>
    </row>
    <row r="119" customFormat="false" ht="15" hidden="false" customHeight="false" outlineLevel="0" collapsed="false">
      <c r="A119" s="33"/>
      <c r="B119" s="34"/>
      <c r="C119" s="33"/>
      <c r="D119" s="35"/>
      <c r="E119" s="34"/>
      <c r="F119" s="36" t="str">
        <f aca="false">IF(IF(ISNUMBER($B119),AND($B119=INT($B119),$B119&gt;=DATE(2000,1,1),$B119&lt;=DATE(2099,12,31)),FALSE()),CHOOSE(WEEKDAY($B119,2),"Monday","Tuesday","Wednesday","Thursday","Friday","Saturday","Sunday"),"")</f>
        <v/>
      </c>
      <c r="G119" s="36" t="str">
        <f aca="false">IF($J119&lt;&gt;1,"",MAX(0,INT((MIN(WinStart+83,$M119)-MAX($K119,$K119+ROUNDUP((WinStart-$K119)/$L119,0)*$L119))/$L119)+1))</f>
        <v/>
      </c>
      <c r="H119" s="37" t="str">
        <f aca="false">IF(AND($A119="",$B119="",$C119="",$D119="",$E119=""),"",IF($I119="","OK","Check details"))</f>
        <v/>
      </c>
      <c r="I119" s="38" t="str">
        <f aca="false">IF(AND($A119="",$B119="",$C119="",$D119="",$E119=""),"",TRIM(IF(TRIM($A119&amp;"")="","Label is missing. ","")&amp;IF($B119="","First visit is missing. ",IF(NOT(ISNUMBER($B119)),"First visit isn't a date (it's text). ",IF($B119&lt;&gt;INT($B119),"First visit has a time; enter a date only. ",IF(OR($B119&lt;DATE(2000,1,1),$B119&gt;DATE(2099,12,31)),"First visit must be from 2000 to 2099. ",""))))&amp;IF($C119="","Repeat every is missing. ",IF(ISNA(MATCH($C119&amp;"",{"Weekly","Every 2 weeks","Every 3 weeks","Every 4 weeks"},0)),"Repeat every must be Weekly or Every 2, 3 or 4 weeks. ",""))&amp;IF($D119="","Visit length is missing. ",IF(NOT(ISNUMBER($D119)),"Visit length must be a number of hours. ",IF($D119&lt;0,"Visit length can't be negative. ",IF($D119=0,"Visit length must be more than 0. ",IF(ABS($D119*100-ROUND($D119*100,0))&gt;0.000001,"Visit length: use up to 2 decimals. ",IF($D119&gt;24,"Visit length: 24 hours or less. ",""))))))&amp;IF($E119="","",IF(NOT(ISNUMBER($E119)),"Last visit isn't a date (it's text). ",IF($E119&lt;&gt;INT($E119),"Last visit has a time; enter a date only. ",IF(OR($E119&lt;DATE(2000,1,1),$E119&gt;DATE(2099,12,31)),"Last visit must be from 2000 to 2099. ",IF(AND(IF(ISNUMBER($B119),AND($B119=INT($B119),$B119&gt;=DATE(2000,1,1),$B119&lt;=DATE(2099,12,31)),FALSE()),$E119&lt;$B119),"Last visit is before the first visit. ","")))))))</f>
        <v/>
      </c>
      <c r="J119" s="39" t="n">
        <f aca="false">IF($H119="OK",1,0)</f>
        <v>0</v>
      </c>
      <c r="K119" s="40" t="n">
        <f aca="false">IF($J119=1,$B119,0)</f>
        <v>0</v>
      </c>
      <c r="L119" s="39" t="n">
        <f aca="false">IF($J119=1,7*MATCH($C119&amp;"",{"Weekly","Every 2 weeks","Every 3 weeks","Every 4 weeks"},0),7)</f>
        <v>7</v>
      </c>
      <c r="M119" s="40" t="n">
        <f aca="false">IF($J119=1,IF($E119="",2958465,$E119),0)</f>
        <v>0</v>
      </c>
      <c r="N119" s="39" t="n">
        <f aca="false">IF($J119=1,ROUND($D119*100,0),0)</f>
        <v>0</v>
      </c>
      <c r="O119" s="40" t="str">
        <f aca="false">IF($J119&lt;&gt;1,"",IF(AND((WeekMon+WEEKDAY($K119,2)-1)&gt;=$K119,MOD((WeekMon+WEEKDAY($K119,2)-1)-$K119,$L119)=0,(WeekMon+WEEKDAY($K119,2)-1)&lt;=$M119),(WeekMon+WEEKDAY($K119,2)-1),""))</f>
        <v/>
      </c>
      <c r="P119" s="39" t="str">
        <f aca="false">IF($O119="","",($O119-WeekMon)*1000+ROW()-11)</f>
        <v/>
      </c>
    </row>
    <row r="120" customFormat="false" ht="15" hidden="false" customHeight="false" outlineLevel="0" collapsed="false">
      <c r="A120" s="33"/>
      <c r="B120" s="34"/>
      <c r="C120" s="33"/>
      <c r="D120" s="35"/>
      <c r="E120" s="34"/>
      <c r="F120" s="36" t="str">
        <f aca="false">IF(IF(ISNUMBER($B120),AND($B120=INT($B120),$B120&gt;=DATE(2000,1,1),$B120&lt;=DATE(2099,12,31)),FALSE()),CHOOSE(WEEKDAY($B120,2),"Monday","Tuesday","Wednesday","Thursday","Friday","Saturday","Sunday"),"")</f>
        <v/>
      </c>
      <c r="G120" s="36" t="str">
        <f aca="false">IF($J120&lt;&gt;1,"",MAX(0,INT((MIN(WinStart+83,$M120)-MAX($K120,$K120+ROUNDUP((WinStart-$K120)/$L120,0)*$L120))/$L120)+1))</f>
        <v/>
      </c>
      <c r="H120" s="37" t="str">
        <f aca="false">IF(AND($A120="",$B120="",$C120="",$D120="",$E120=""),"",IF($I120="","OK","Check details"))</f>
        <v/>
      </c>
      <c r="I120" s="38" t="str">
        <f aca="false">IF(AND($A120="",$B120="",$C120="",$D120="",$E120=""),"",TRIM(IF(TRIM($A120&amp;"")="","Label is missing. ","")&amp;IF($B120="","First visit is missing. ",IF(NOT(ISNUMBER($B120)),"First visit isn't a date (it's text). ",IF($B120&lt;&gt;INT($B120),"First visit has a time; enter a date only. ",IF(OR($B120&lt;DATE(2000,1,1),$B120&gt;DATE(2099,12,31)),"First visit must be from 2000 to 2099. ",""))))&amp;IF($C120="","Repeat every is missing. ",IF(ISNA(MATCH($C120&amp;"",{"Weekly","Every 2 weeks","Every 3 weeks","Every 4 weeks"},0)),"Repeat every must be Weekly or Every 2, 3 or 4 weeks. ",""))&amp;IF($D120="","Visit length is missing. ",IF(NOT(ISNUMBER($D120)),"Visit length must be a number of hours. ",IF($D120&lt;0,"Visit length can't be negative. ",IF($D120=0,"Visit length must be more than 0. ",IF(ABS($D120*100-ROUND($D120*100,0))&gt;0.000001,"Visit length: use up to 2 decimals. ",IF($D120&gt;24,"Visit length: 24 hours or less. ",""))))))&amp;IF($E120="","",IF(NOT(ISNUMBER($E120)),"Last visit isn't a date (it's text). ",IF($E120&lt;&gt;INT($E120),"Last visit has a time; enter a date only. ",IF(OR($E120&lt;DATE(2000,1,1),$E120&gt;DATE(2099,12,31)),"Last visit must be from 2000 to 2099. ",IF(AND(IF(ISNUMBER($B120),AND($B120=INT($B120),$B120&gt;=DATE(2000,1,1),$B120&lt;=DATE(2099,12,31)),FALSE()),$E120&lt;$B120),"Last visit is before the first visit. ","")))))))</f>
        <v/>
      </c>
      <c r="J120" s="39" t="n">
        <f aca="false">IF($H120="OK",1,0)</f>
        <v>0</v>
      </c>
      <c r="K120" s="40" t="n">
        <f aca="false">IF($J120=1,$B120,0)</f>
        <v>0</v>
      </c>
      <c r="L120" s="39" t="n">
        <f aca="false">IF($J120=1,7*MATCH($C120&amp;"",{"Weekly","Every 2 weeks","Every 3 weeks","Every 4 weeks"},0),7)</f>
        <v>7</v>
      </c>
      <c r="M120" s="40" t="n">
        <f aca="false">IF($J120=1,IF($E120="",2958465,$E120),0)</f>
        <v>0</v>
      </c>
      <c r="N120" s="39" t="n">
        <f aca="false">IF($J120=1,ROUND($D120*100,0),0)</f>
        <v>0</v>
      </c>
      <c r="O120" s="40" t="str">
        <f aca="false">IF($J120&lt;&gt;1,"",IF(AND((WeekMon+WEEKDAY($K120,2)-1)&gt;=$K120,MOD((WeekMon+WEEKDAY($K120,2)-1)-$K120,$L120)=0,(WeekMon+WEEKDAY($K120,2)-1)&lt;=$M120),(WeekMon+WEEKDAY($K120,2)-1),""))</f>
        <v/>
      </c>
      <c r="P120" s="39" t="str">
        <f aca="false">IF($O120="","",($O120-WeekMon)*1000+ROW()-11)</f>
        <v/>
      </c>
    </row>
    <row r="121" customFormat="false" ht="15" hidden="false" customHeight="false" outlineLevel="0" collapsed="false">
      <c r="A121" s="33"/>
      <c r="B121" s="34"/>
      <c r="C121" s="33"/>
      <c r="D121" s="35"/>
      <c r="E121" s="34"/>
      <c r="F121" s="36" t="str">
        <f aca="false">IF(IF(ISNUMBER($B121),AND($B121=INT($B121),$B121&gt;=DATE(2000,1,1),$B121&lt;=DATE(2099,12,31)),FALSE()),CHOOSE(WEEKDAY($B121,2),"Monday","Tuesday","Wednesday","Thursday","Friday","Saturday","Sunday"),"")</f>
        <v/>
      </c>
      <c r="G121" s="36" t="str">
        <f aca="false">IF($J121&lt;&gt;1,"",MAX(0,INT((MIN(WinStart+83,$M121)-MAX($K121,$K121+ROUNDUP((WinStart-$K121)/$L121,0)*$L121))/$L121)+1))</f>
        <v/>
      </c>
      <c r="H121" s="37" t="str">
        <f aca="false">IF(AND($A121="",$B121="",$C121="",$D121="",$E121=""),"",IF($I121="","OK","Check details"))</f>
        <v/>
      </c>
      <c r="I121" s="38" t="str">
        <f aca="false">IF(AND($A121="",$B121="",$C121="",$D121="",$E121=""),"",TRIM(IF(TRIM($A121&amp;"")="","Label is missing. ","")&amp;IF($B121="","First visit is missing. ",IF(NOT(ISNUMBER($B121)),"First visit isn't a date (it's text). ",IF($B121&lt;&gt;INT($B121),"First visit has a time; enter a date only. ",IF(OR($B121&lt;DATE(2000,1,1),$B121&gt;DATE(2099,12,31)),"First visit must be from 2000 to 2099. ",""))))&amp;IF($C121="","Repeat every is missing. ",IF(ISNA(MATCH($C121&amp;"",{"Weekly","Every 2 weeks","Every 3 weeks","Every 4 weeks"},0)),"Repeat every must be Weekly or Every 2, 3 or 4 weeks. ",""))&amp;IF($D121="","Visit length is missing. ",IF(NOT(ISNUMBER($D121)),"Visit length must be a number of hours. ",IF($D121&lt;0,"Visit length can't be negative. ",IF($D121=0,"Visit length must be more than 0. ",IF(ABS($D121*100-ROUND($D121*100,0))&gt;0.000001,"Visit length: use up to 2 decimals. ",IF($D121&gt;24,"Visit length: 24 hours or less. ",""))))))&amp;IF($E121="","",IF(NOT(ISNUMBER($E121)),"Last visit isn't a date (it's text). ",IF($E121&lt;&gt;INT($E121),"Last visit has a time; enter a date only. ",IF(OR($E121&lt;DATE(2000,1,1),$E121&gt;DATE(2099,12,31)),"Last visit must be from 2000 to 2099. ",IF(AND(IF(ISNUMBER($B121),AND($B121=INT($B121),$B121&gt;=DATE(2000,1,1),$B121&lt;=DATE(2099,12,31)),FALSE()),$E121&lt;$B121),"Last visit is before the first visit. ","")))))))</f>
        <v/>
      </c>
      <c r="J121" s="39" t="n">
        <f aca="false">IF($H121="OK",1,0)</f>
        <v>0</v>
      </c>
      <c r="K121" s="40" t="n">
        <f aca="false">IF($J121=1,$B121,0)</f>
        <v>0</v>
      </c>
      <c r="L121" s="39" t="n">
        <f aca="false">IF($J121=1,7*MATCH($C121&amp;"",{"Weekly","Every 2 weeks","Every 3 weeks","Every 4 weeks"},0),7)</f>
        <v>7</v>
      </c>
      <c r="M121" s="40" t="n">
        <f aca="false">IF($J121=1,IF($E121="",2958465,$E121),0)</f>
        <v>0</v>
      </c>
      <c r="N121" s="39" t="n">
        <f aca="false">IF($J121=1,ROUND($D121*100,0),0)</f>
        <v>0</v>
      </c>
      <c r="O121" s="40" t="str">
        <f aca="false">IF($J121&lt;&gt;1,"",IF(AND((WeekMon+WEEKDAY($K121,2)-1)&gt;=$K121,MOD((WeekMon+WEEKDAY($K121,2)-1)-$K121,$L121)=0,(WeekMon+WEEKDAY($K121,2)-1)&lt;=$M121),(WeekMon+WEEKDAY($K121,2)-1),""))</f>
        <v/>
      </c>
      <c r="P121" s="39" t="str">
        <f aca="false">IF($O121="","",($O121-WeekMon)*1000+ROW()-11)</f>
        <v/>
      </c>
    </row>
    <row r="122" customFormat="false" ht="15" hidden="false" customHeight="false" outlineLevel="0" collapsed="false">
      <c r="A122" s="33"/>
      <c r="B122" s="34"/>
      <c r="C122" s="33"/>
      <c r="D122" s="35"/>
      <c r="E122" s="34"/>
      <c r="F122" s="36" t="str">
        <f aca="false">IF(IF(ISNUMBER($B122),AND($B122=INT($B122),$B122&gt;=DATE(2000,1,1),$B122&lt;=DATE(2099,12,31)),FALSE()),CHOOSE(WEEKDAY($B122,2),"Monday","Tuesday","Wednesday","Thursday","Friday","Saturday","Sunday"),"")</f>
        <v/>
      </c>
      <c r="G122" s="36" t="str">
        <f aca="false">IF($J122&lt;&gt;1,"",MAX(0,INT((MIN(WinStart+83,$M122)-MAX($K122,$K122+ROUNDUP((WinStart-$K122)/$L122,0)*$L122))/$L122)+1))</f>
        <v/>
      </c>
      <c r="H122" s="37" t="str">
        <f aca="false">IF(AND($A122="",$B122="",$C122="",$D122="",$E122=""),"",IF($I122="","OK","Check details"))</f>
        <v/>
      </c>
      <c r="I122" s="38" t="str">
        <f aca="false">IF(AND($A122="",$B122="",$C122="",$D122="",$E122=""),"",TRIM(IF(TRIM($A122&amp;"")="","Label is missing. ","")&amp;IF($B122="","First visit is missing. ",IF(NOT(ISNUMBER($B122)),"First visit isn't a date (it's text). ",IF($B122&lt;&gt;INT($B122),"First visit has a time; enter a date only. ",IF(OR($B122&lt;DATE(2000,1,1),$B122&gt;DATE(2099,12,31)),"First visit must be from 2000 to 2099. ",""))))&amp;IF($C122="","Repeat every is missing. ",IF(ISNA(MATCH($C122&amp;"",{"Weekly","Every 2 weeks","Every 3 weeks","Every 4 weeks"},0)),"Repeat every must be Weekly or Every 2, 3 or 4 weeks. ",""))&amp;IF($D122="","Visit length is missing. ",IF(NOT(ISNUMBER($D122)),"Visit length must be a number of hours. ",IF($D122&lt;0,"Visit length can't be negative. ",IF($D122=0,"Visit length must be more than 0. ",IF(ABS($D122*100-ROUND($D122*100,0))&gt;0.000001,"Visit length: use up to 2 decimals. ",IF($D122&gt;24,"Visit length: 24 hours or less. ",""))))))&amp;IF($E122="","",IF(NOT(ISNUMBER($E122)),"Last visit isn't a date (it's text). ",IF($E122&lt;&gt;INT($E122),"Last visit has a time; enter a date only. ",IF(OR($E122&lt;DATE(2000,1,1),$E122&gt;DATE(2099,12,31)),"Last visit must be from 2000 to 2099. ",IF(AND(IF(ISNUMBER($B122),AND($B122=INT($B122),$B122&gt;=DATE(2000,1,1),$B122&lt;=DATE(2099,12,31)),FALSE()),$E122&lt;$B122),"Last visit is before the first visit. ","")))))))</f>
        <v/>
      </c>
      <c r="J122" s="39" t="n">
        <f aca="false">IF($H122="OK",1,0)</f>
        <v>0</v>
      </c>
      <c r="K122" s="40" t="n">
        <f aca="false">IF($J122=1,$B122,0)</f>
        <v>0</v>
      </c>
      <c r="L122" s="39" t="n">
        <f aca="false">IF($J122=1,7*MATCH($C122&amp;"",{"Weekly","Every 2 weeks","Every 3 weeks","Every 4 weeks"},0),7)</f>
        <v>7</v>
      </c>
      <c r="M122" s="40" t="n">
        <f aca="false">IF($J122=1,IF($E122="",2958465,$E122),0)</f>
        <v>0</v>
      </c>
      <c r="N122" s="39" t="n">
        <f aca="false">IF($J122=1,ROUND($D122*100,0),0)</f>
        <v>0</v>
      </c>
      <c r="O122" s="40" t="str">
        <f aca="false">IF($J122&lt;&gt;1,"",IF(AND((WeekMon+WEEKDAY($K122,2)-1)&gt;=$K122,MOD((WeekMon+WEEKDAY($K122,2)-1)-$K122,$L122)=0,(WeekMon+WEEKDAY($K122,2)-1)&lt;=$M122),(WeekMon+WEEKDAY($K122,2)-1),""))</f>
        <v/>
      </c>
      <c r="P122" s="39" t="str">
        <f aca="false">IF($O122="","",($O122-WeekMon)*1000+ROW()-11)</f>
        <v/>
      </c>
    </row>
    <row r="123" customFormat="false" ht="15" hidden="false" customHeight="false" outlineLevel="0" collapsed="false">
      <c r="A123" s="33"/>
      <c r="B123" s="34"/>
      <c r="C123" s="33"/>
      <c r="D123" s="35"/>
      <c r="E123" s="34"/>
      <c r="F123" s="36" t="str">
        <f aca="false">IF(IF(ISNUMBER($B123),AND($B123=INT($B123),$B123&gt;=DATE(2000,1,1),$B123&lt;=DATE(2099,12,31)),FALSE()),CHOOSE(WEEKDAY($B123,2),"Monday","Tuesday","Wednesday","Thursday","Friday","Saturday","Sunday"),"")</f>
        <v/>
      </c>
      <c r="G123" s="36" t="str">
        <f aca="false">IF($J123&lt;&gt;1,"",MAX(0,INT((MIN(WinStart+83,$M123)-MAX($K123,$K123+ROUNDUP((WinStart-$K123)/$L123,0)*$L123))/$L123)+1))</f>
        <v/>
      </c>
      <c r="H123" s="37" t="str">
        <f aca="false">IF(AND($A123="",$B123="",$C123="",$D123="",$E123=""),"",IF($I123="","OK","Check details"))</f>
        <v/>
      </c>
      <c r="I123" s="38" t="str">
        <f aca="false">IF(AND($A123="",$B123="",$C123="",$D123="",$E123=""),"",TRIM(IF(TRIM($A123&amp;"")="","Label is missing. ","")&amp;IF($B123="","First visit is missing. ",IF(NOT(ISNUMBER($B123)),"First visit isn't a date (it's text). ",IF($B123&lt;&gt;INT($B123),"First visit has a time; enter a date only. ",IF(OR($B123&lt;DATE(2000,1,1),$B123&gt;DATE(2099,12,31)),"First visit must be from 2000 to 2099. ",""))))&amp;IF($C123="","Repeat every is missing. ",IF(ISNA(MATCH($C123&amp;"",{"Weekly","Every 2 weeks","Every 3 weeks","Every 4 weeks"},0)),"Repeat every must be Weekly or Every 2, 3 or 4 weeks. ",""))&amp;IF($D123="","Visit length is missing. ",IF(NOT(ISNUMBER($D123)),"Visit length must be a number of hours. ",IF($D123&lt;0,"Visit length can't be negative. ",IF($D123=0,"Visit length must be more than 0. ",IF(ABS($D123*100-ROUND($D123*100,0))&gt;0.000001,"Visit length: use up to 2 decimals. ",IF($D123&gt;24,"Visit length: 24 hours or less. ",""))))))&amp;IF($E123="","",IF(NOT(ISNUMBER($E123)),"Last visit isn't a date (it's text). ",IF($E123&lt;&gt;INT($E123),"Last visit has a time; enter a date only. ",IF(OR($E123&lt;DATE(2000,1,1),$E123&gt;DATE(2099,12,31)),"Last visit must be from 2000 to 2099. ",IF(AND(IF(ISNUMBER($B123),AND($B123=INT($B123),$B123&gt;=DATE(2000,1,1),$B123&lt;=DATE(2099,12,31)),FALSE()),$E123&lt;$B123),"Last visit is before the first visit. ","")))))))</f>
        <v/>
      </c>
      <c r="J123" s="39" t="n">
        <f aca="false">IF($H123="OK",1,0)</f>
        <v>0</v>
      </c>
      <c r="K123" s="40" t="n">
        <f aca="false">IF($J123=1,$B123,0)</f>
        <v>0</v>
      </c>
      <c r="L123" s="39" t="n">
        <f aca="false">IF($J123=1,7*MATCH($C123&amp;"",{"Weekly","Every 2 weeks","Every 3 weeks","Every 4 weeks"},0),7)</f>
        <v>7</v>
      </c>
      <c r="M123" s="40" t="n">
        <f aca="false">IF($J123=1,IF($E123="",2958465,$E123),0)</f>
        <v>0</v>
      </c>
      <c r="N123" s="39" t="n">
        <f aca="false">IF($J123=1,ROUND($D123*100,0),0)</f>
        <v>0</v>
      </c>
      <c r="O123" s="40" t="str">
        <f aca="false">IF($J123&lt;&gt;1,"",IF(AND((WeekMon+WEEKDAY($K123,2)-1)&gt;=$K123,MOD((WeekMon+WEEKDAY($K123,2)-1)-$K123,$L123)=0,(WeekMon+WEEKDAY($K123,2)-1)&lt;=$M123),(WeekMon+WEEKDAY($K123,2)-1),""))</f>
        <v/>
      </c>
      <c r="P123" s="39" t="str">
        <f aca="false">IF($O123="","",($O123-WeekMon)*1000+ROW()-11)</f>
        <v/>
      </c>
    </row>
    <row r="124" customFormat="false" ht="15" hidden="false" customHeight="false" outlineLevel="0" collapsed="false">
      <c r="A124" s="33"/>
      <c r="B124" s="34"/>
      <c r="C124" s="33"/>
      <c r="D124" s="35"/>
      <c r="E124" s="34"/>
      <c r="F124" s="36" t="str">
        <f aca="false">IF(IF(ISNUMBER($B124),AND($B124=INT($B124),$B124&gt;=DATE(2000,1,1),$B124&lt;=DATE(2099,12,31)),FALSE()),CHOOSE(WEEKDAY($B124,2),"Monday","Tuesday","Wednesday","Thursday","Friday","Saturday","Sunday"),"")</f>
        <v/>
      </c>
      <c r="G124" s="36" t="str">
        <f aca="false">IF($J124&lt;&gt;1,"",MAX(0,INT((MIN(WinStart+83,$M124)-MAX($K124,$K124+ROUNDUP((WinStart-$K124)/$L124,0)*$L124))/$L124)+1))</f>
        <v/>
      </c>
      <c r="H124" s="37" t="str">
        <f aca="false">IF(AND($A124="",$B124="",$C124="",$D124="",$E124=""),"",IF($I124="","OK","Check details"))</f>
        <v/>
      </c>
      <c r="I124" s="38" t="str">
        <f aca="false">IF(AND($A124="",$B124="",$C124="",$D124="",$E124=""),"",TRIM(IF(TRIM($A124&amp;"")="","Label is missing. ","")&amp;IF($B124="","First visit is missing. ",IF(NOT(ISNUMBER($B124)),"First visit isn't a date (it's text). ",IF($B124&lt;&gt;INT($B124),"First visit has a time; enter a date only. ",IF(OR($B124&lt;DATE(2000,1,1),$B124&gt;DATE(2099,12,31)),"First visit must be from 2000 to 2099. ",""))))&amp;IF($C124="","Repeat every is missing. ",IF(ISNA(MATCH($C124&amp;"",{"Weekly","Every 2 weeks","Every 3 weeks","Every 4 weeks"},0)),"Repeat every must be Weekly or Every 2, 3 or 4 weeks. ",""))&amp;IF($D124="","Visit length is missing. ",IF(NOT(ISNUMBER($D124)),"Visit length must be a number of hours. ",IF($D124&lt;0,"Visit length can't be negative. ",IF($D124=0,"Visit length must be more than 0. ",IF(ABS($D124*100-ROUND($D124*100,0))&gt;0.000001,"Visit length: use up to 2 decimals. ",IF($D124&gt;24,"Visit length: 24 hours or less. ",""))))))&amp;IF($E124="","",IF(NOT(ISNUMBER($E124)),"Last visit isn't a date (it's text). ",IF($E124&lt;&gt;INT($E124),"Last visit has a time; enter a date only. ",IF(OR($E124&lt;DATE(2000,1,1),$E124&gt;DATE(2099,12,31)),"Last visit must be from 2000 to 2099. ",IF(AND(IF(ISNUMBER($B124),AND($B124=INT($B124),$B124&gt;=DATE(2000,1,1),$B124&lt;=DATE(2099,12,31)),FALSE()),$E124&lt;$B124),"Last visit is before the first visit. ","")))))))</f>
        <v/>
      </c>
      <c r="J124" s="39" t="n">
        <f aca="false">IF($H124="OK",1,0)</f>
        <v>0</v>
      </c>
      <c r="K124" s="40" t="n">
        <f aca="false">IF($J124=1,$B124,0)</f>
        <v>0</v>
      </c>
      <c r="L124" s="39" t="n">
        <f aca="false">IF($J124=1,7*MATCH($C124&amp;"",{"Weekly","Every 2 weeks","Every 3 weeks","Every 4 weeks"},0),7)</f>
        <v>7</v>
      </c>
      <c r="M124" s="40" t="n">
        <f aca="false">IF($J124=1,IF($E124="",2958465,$E124),0)</f>
        <v>0</v>
      </c>
      <c r="N124" s="39" t="n">
        <f aca="false">IF($J124=1,ROUND($D124*100,0),0)</f>
        <v>0</v>
      </c>
      <c r="O124" s="40" t="str">
        <f aca="false">IF($J124&lt;&gt;1,"",IF(AND((WeekMon+WEEKDAY($K124,2)-1)&gt;=$K124,MOD((WeekMon+WEEKDAY($K124,2)-1)-$K124,$L124)=0,(WeekMon+WEEKDAY($K124,2)-1)&lt;=$M124),(WeekMon+WEEKDAY($K124,2)-1),""))</f>
        <v/>
      </c>
      <c r="P124" s="39" t="str">
        <f aca="false">IF($O124="","",($O124-WeekMon)*1000+ROW()-11)</f>
        <v/>
      </c>
    </row>
    <row r="125" customFormat="false" ht="15" hidden="false" customHeight="false" outlineLevel="0" collapsed="false">
      <c r="A125" s="33"/>
      <c r="B125" s="34"/>
      <c r="C125" s="33"/>
      <c r="D125" s="35"/>
      <c r="E125" s="34"/>
      <c r="F125" s="36" t="str">
        <f aca="false">IF(IF(ISNUMBER($B125),AND($B125=INT($B125),$B125&gt;=DATE(2000,1,1),$B125&lt;=DATE(2099,12,31)),FALSE()),CHOOSE(WEEKDAY($B125,2),"Monday","Tuesday","Wednesday","Thursday","Friday","Saturday","Sunday"),"")</f>
        <v/>
      </c>
      <c r="G125" s="36" t="str">
        <f aca="false">IF($J125&lt;&gt;1,"",MAX(0,INT((MIN(WinStart+83,$M125)-MAX($K125,$K125+ROUNDUP((WinStart-$K125)/$L125,0)*$L125))/$L125)+1))</f>
        <v/>
      </c>
      <c r="H125" s="37" t="str">
        <f aca="false">IF(AND($A125="",$B125="",$C125="",$D125="",$E125=""),"",IF($I125="","OK","Check details"))</f>
        <v/>
      </c>
      <c r="I125" s="38" t="str">
        <f aca="false">IF(AND($A125="",$B125="",$C125="",$D125="",$E125=""),"",TRIM(IF(TRIM($A125&amp;"")="","Label is missing. ","")&amp;IF($B125="","First visit is missing. ",IF(NOT(ISNUMBER($B125)),"First visit isn't a date (it's text). ",IF($B125&lt;&gt;INT($B125),"First visit has a time; enter a date only. ",IF(OR($B125&lt;DATE(2000,1,1),$B125&gt;DATE(2099,12,31)),"First visit must be from 2000 to 2099. ",""))))&amp;IF($C125="","Repeat every is missing. ",IF(ISNA(MATCH($C125&amp;"",{"Weekly","Every 2 weeks","Every 3 weeks","Every 4 weeks"},0)),"Repeat every must be Weekly or Every 2, 3 or 4 weeks. ",""))&amp;IF($D125="","Visit length is missing. ",IF(NOT(ISNUMBER($D125)),"Visit length must be a number of hours. ",IF($D125&lt;0,"Visit length can't be negative. ",IF($D125=0,"Visit length must be more than 0. ",IF(ABS($D125*100-ROUND($D125*100,0))&gt;0.000001,"Visit length: use up to 2 decimals. ",IF($D125&gt;24,"Visit length: 24 hours or less. ",""))))))&amp;IF($E125="","",IF(NOT(ISNUMBER($E125)),"Last visit isn't a date (it's text). ",IF($E125&lt;&gt;INT($E125),"Last visit has a time; enter a date only. ",IF(OR($E125&lt;DATE(2000,1,1),$E125&gt;DATE(2099,12,31)),"Last visit must be from 2000 to 2099. ",IF(AND(IF(ISNUMBER($B125),AND($B125=INT($B125),$B125&gt;=DATE(2000,1,1),$B125&lt;=DATE(2099,12,31)),FALSE()),$E125&lt;$B125),"Last visit is before the first visit. ","")))))))</f>
        <v/>
      </c>
      <c r="J125" s="39" t="n">
        <f aca="false">IF($H125="OK",1,0)</f>
        <v>0</v>
      </c>
      <c r="K125" s="40" t="n">
        <f aca="false">IF($J125=1,$B125,0)</f>
        <v>0</v>
      </c>
      <c r="L125" s="39" t="n">
        <f aca="false">IF($J125=1,7*MATCH($C125&amp;"",{"Weekly","Every 2 weeks","Every 3 weeks","Every 4 weeks"},0),7)</f>
        <v>7</v>
      </c>
      <c r="M125" s="40" t="n">
        <f aca="false">IF($J125=1,IF($E125="",2958465,$E125),0)</f>
        <v>0</v>
      </c>
      <c r="N125" s="39" t="n">
        <f aca="false">IF($J125=1,ROUND($D125*100,0),0)</f>
        <v>0</v>
      </c>
      <c r="O125" s="40" t="str">
        <f aca="false">IF($J125&lt;&gt;1,"",IF(AND((WeekMon+WEEKDAY($K125,2)-1)&gt;=$K125,MOD((WeekMon+WEEKDAY($K125,2)-1)-$K125,$L125)=0,(WeekMon+WEEKDAY($K125,2)-1)&lt;=$M125),(WeekMon+WEEKDAY($K125,2)-1),""))</f>
        <v/>
      </c>
      <c r="P125" s="39" t="str">
        <f aca="false">IF($O125="","",($O125-WeekMon)*1000+ROW()-11)</f>
        <v/>
      </c>
    </row>
    <row r="126" customFormat="false" ht="15" hidden="false" customHeight="false" outlineLevel="0" collapsed="false">
      <c r="A126" s="33"/>
      <c r="B126" s="34"/>
      <c r="C126" s="33"/>
      <c r="D126" s="35"/>
      <c r="E126" s="34"/>
      <c r="F126" s="36" t="str">
        <f aca="false">IF(IF(ISNUMBER($B126),AND($B126=INT($B126),$B126&gt;=DATE(2000,1,1),$B126&lt;=DATE(2099,12,31)),FALSE()),CHOOSE(WEEKDAY($B126,2),"Monday","Tuesday","Wednesday","Thursday","Friday","Saturday","Sunday"),"")</f>
        <v/>
      </c>
      <c r="G126" s="36" t="str">
        <f aca="false">IF($J126&lt;&gt;1,"",MAX(0,INT((MIN(WinStart+83,$M126)-MAX($K126,$K126+ROUNDUP((WinStart-$K126)/$L126,0)*$L126))/$L126)+1))</f>
        <v/>
      </c>
      <c r="H126" s="37" t="str">
        <f aca="false">IF(AND($A126="",$B126="",$C126="",$D126="",$E126=""),"",IF($I126="","OK","Check details"))</f>
        <v/>
      </c>
      <c r="I126" s="38" t="str">
        <f aca="false">IF(AND($A126="",$B126="",$C126="",$D126="",$E126=""),"",TRIM(IF(TRIM($A126&amp;"")="","Label is missing. ","")&amp;IF($B126="","First visit is missing. ",IF(NOT(ISNUMBER($B126)),"First visit isn't a date (it's text). ",IF($B126&lt;&gt;INT($B126),"First visit has a time; enter a date only. ",IF(OR($B126&lt;DATE(2000,1,1),$B126&gt;DATE(2099,12,31)),"First visit must be from 2000 to 2099. ",""))))&amp;IF($C126="","Repeat every is missing. ",IF(ISNA(MATCH($C126&amp;"",{"Weekly","Every 2 weeks","Every 3 weeks","Every 4 weeks"},0)),"Repeat every must be Weekly or Every 2, 3 or 4 weeks. ",""))&amp;IF($D126="","Visit length is missing. ",IF(NOT(ISNUMBER($D126)),"Visit length must be a number of hours. ",IF($D126&lt;0,"Visit length can't be negative. ",IF($D126=0,"Visit length must be more than 0. ",IF(ABS($D126*100-ROUND($D126*100,0))&gt;0.000001,"Visit length: use up to 2 decimals. ",IF($D126&gt;24,"Visit length: 24 hours or less. ",""))))))&amp;IF($E126="","",IF(NOT(ISNUMBER($E126)),"Last visit isn't a date (it's text). ",IF($E126&lt;&gt;INT($E126),"Last visit has a time; enter a date only. ",IF(OR($E126&lt;DATE(2000,1,1),$E126&gt;DATE(2099,12,31)),"Last visit must be from 2000 to 2099. ",IF(AND(IF(ISNUMBER($B126),AND($B126=INT($B126),$B126&gt;=DATE(2000,1,1),$B126&lt;=DATE(2099,12,31)),FALSE()),$E126&lt;$B126),"Last visit is before the first visit. ","")))))))</f>
        <v/>
      </c>
      <c r="J126" s="39" t="n">
        <f aca="false">IF($H126="OK",1,0)</f>
        <v>0</v>
      </c>
      <c r="K126" s="40" t="n">
        <f aca="false">IF($J126=1,$B126,0)</f>
        <v>0</v>
      </c>
      <c r="L126" s="39" t="n">
        <f aca="false">IF($J126=1,7*MATCH($C126&amp;"",{"Weekly","Every 2 weeks","Every 3 weeks","Every 4 weeks"},0),7)</f>
        <v>7</v>
      </c>
      <c r="M126" s="40" t="n">
        <f aca="false">IF($J126=1,IF($E126="",2958465,$E126),0)</f>
        <v>0</v>
      </c>
      <c r="N126" s="39" t="n">
        <f aca="false">IF($J126=1,ROUND($D126*100,0),0)</f>
        <v>0</v>
      </c>
      <c r="O126" s="40" t="str">
        <f aca="false">IF($J126&lt;&gt;1,"",IF(AND((WeekMon+WEEKDAY($K126,2)-1)&gt;=$K126,MOD((WeekMon+WEEKDAY($K126,2)-1)-$K126,$L126)=0,(WeekMon+WEEKDAY($K126,2)-1)&lt;=$M126),(WeekMon+WEEKDAY($K126,2)-1),""))</f>
        <v/>
      </c>
      <c r="P126" s="39" t="str">
        <f aca="false">IF($O126="","",($O126-WeekMon)*1000+ROW()-11)</f>
        <v/>
      </c>
    </row>
    <row r="127" customFormat="false" ht="15" hidden="false" customHeight="false" outlineLevel="0" collapsed="false">
      <c r="A127" s="33"/>
      <c r="B127" s="34"/>
      <c r="C127" s="33"/>
      <c r="D127" s="35"/>
      <c r="E127" s="34"/>
      <c r="F127" s="36" t="str">
        <f aca="false">IF(IF(ISNUMBER($B127),AND($B127=INT($B127),$B127&gt;=DATE(2000,1,1),$B127&lt;=DATE(2099,12,31)),FALSE()),CHOOSE(WEEKDAY($B127,2),"Monday","Tuesday","Wednesday","Thursday","Friday","Saturday","Sunday"),"")</f>
        <v/>
      </c>
      <c r="G127" s="36" t="str">
        <f aca="false">IF($J127&lt;&gt;1,"",MAX(0,INT((MIN(WinStart+83,$M127)-MAX($K127,$K127+ROUNDUP((WinStart-$K127)/$L127,0)*$L127))/$L127)+1))</f>
        <v/>
      </c>
      <c r="H127" s="37" t="str">
        <f aca="false">IF(AND($A127="",$B127="",$C127="",$D127="",$E127=""),"",IF($I127="","OK","Check details"))</f>
        <v/>
      </c>
      <c r="I127" s="38" t="str">
        <f aca="false">IF(AND($A127="",$B127="",$C127="",$D127="",$E127=""),"",TRIM(IF(TRIM($A127&amp;"")="","Label is missing. ","")&amp;IF($B127="","First visit is missing. ",IF(NOT(ISNUMBER($B127)),"First visit isn't a date (it's text). ",IF($B127&lt;&gt;INT($B127),"First visit has a time; enter a date only. ",IF(OR($B127&lt;DATE(2000,1,1),$B127&gt;DATE(2099,12,31)),"First visit must be from 2000 to 2099. ",""))))&amp;IF($C127="","Repeat every is missing. ",IF(ISNA(MATCH($C127&amp;"",{"Weekly","Every 2 weeks","Every 3 weeks","Every 4 weeks"},0)),"Repeat every must be Weekly or Every 2, 3 or 4 weeks. ",""))&amp;IF($D127="","Visit length is missing. ",IF(NOT(ISNUMBER($D127)),"Visit length must be a number of hours. ",IF($D127&lt;0,"Visit length can't be negative. ",IF($D127=0,"Visit length must be more than 0. ",IF(ABS($D127*100-ROUND($D127*100,0))&gt;0.000001,"Visit length: use up to 2 decimals. ",IF($D127&gt;24,"Visit length: 24 hours or less. ",""))))))&amp;IF($E127="","",IF(NOT(ISNUMBER($E127)),"Last visit isn't a date (it's text). ",IF($E127&lt;&gt;INT($E127),"Last visit has a time; enter a date only. ",IF(OR($E127&lt;DATE(2000,1,1),$E127&gt;DATE(2099,12,31)),"Last visit must be from 2000 to 2099. ",IF(AND(IF(ISNUMBER($B127),AND($B127=INT($B127),$B127&gt;=DATE(2000,1,1),$B127&lt;=DATE(2099,12,31)),FALSE()),$E127&lt;$B127),"Last visit is before the first visit. ","")))))))</f>
        <v/>
      </c>
      <c r="J127" s="39" t="n">
        <f aca="false">IF($H127="OK",1,0)</f>
        <v>0</v>
      </c>
      <c r="K127" s="40" t="n">
        <f aca="false">IF($J127=1,$B127,0)</f>
        <v>0</v>
      </c>
      <c r="L127" s="39" t="n">
        <f aca="false">IF($J127=1,7*MATCH($C127&amp;"",{"Weekly","Every 2 weeks","Every 3 weeks","Every 4 weeks"},0),7)</f>
        <v>7</v>
      </c>
      <c r="M127" s="40" t="n">
        <f aca="false">IF($J127=1,IF($E127="",2958465,$E127),0)</f>
        <v>0</v>
      </c>
      <c r="N127" s="39" t="n">
        <f aca="false">IF($J127=1,ROUND($D127*100,0),0)</f>
        <v>0</v>
      </c>
      <c r="O127" s="40" t="str">
        <f aca="false">IF($J127&lt;&gt;1,"",IF(AND((WeekMon+WEEKDAY($K127,2)-1)&gt;=$K127,MOD((WeekMon+WEEKDAY($K127,2)-1)-$K127,$L127)=0,(WeekMon+WEEKDAY($K127,2)-1)&lt;=$M127),(WeekMon+WEEKDAY($K127,2)-1),""))</f>
        <v/>
      </c>
      <c r="P127" s="39" t="str">
        <f aca="false">IF($O127="","",($O127-WeekMon)*1000+ROW()-11)</f>
        <v/>
      </c>
    </row>
    <row r="128" customFormat="false" ht="15" hidden="false" customHeight="false" outlineLevel="0" collapsed="false">
      <c r="A128" s="33"/>
      <c r="B128" s="34"/>
      <c r="C128" s="33"/>
      <c r="D128" s="35"/>
      <c r="E128" s="34"/>
      <c r="F128" s="36" t="str">
        <f aca="false">IF(IF(ISNUMBER($B128),AND($B128=INT($B128),$B128&gt;=DATE(2000,1,1),$B128&lt;=DATE(2099,12,31)),FALSE()),CHOOSE(WEEKDAY($B128,2),"Monday","Tuesday","Wednesday","Thursday","Friday","Saturday","Sunday"),"")</f>
        <v/>
      </c>
      <c r="G128" s="36" t="str">
        <f aca="false">IF($J128&lt;&gt;1,"",MAX(0,INT((MIN(WinStart+83,$M128)-MAX($K128,$K128+ROUNDUP((WinStart-$K128)/$L128,0)*$L128))/$L128)+1))</f>
        <v/>
      </c>
      <c r="H128" s="37" t="str">
        <f aca="false">IF(AND($A128="",$B128="",$C128="",$D128="",$E128=""),"",IF($I128="","OK","Check details"))</f>
        <v/>
      </c>
      <c r="I128" s="38" t="str">
        <f aca="false">IF(AND($A128="",$B128="",$C128="",$D128="",$E128=""),"",TRIM(IF(TRIM($A128&amp;"")="","Label is missing. ","")&amp;IF($B128="","First visit is missing. ",IF(NOT(ISNUMBER($B128)),"First visit isn't a date (it's text). ",IF($B128&lt;&gt;INT($B128),"First visit has a time; enter a date only. ",IF(OR($B128&lt;DATE(2000,1,1),$B128&gt;DATE(2099,12,31)),"First visit must be from 2000 to 2099. ",""))))&amp;IF($C128="","Repeat every is missing. ",IF(ISNA(MATCH($C128&amp;"",{"Weekly","Every 2 weeks","Every 3 weeks","Every 4 weeks"},0)),"Repeat every must be Weekly or Every 2, 3 or 4 weeks. ",""))&amp;IF($D128="","Visit length is missing. ",IF(NOT(ISNUMBER($D128)),"Visit length must be a number of hours. ",IF($D128&lt;0,"Visit length can't be negative. ",IF($D128=0,"Visit length must be more than 0. ",IF(ABS($D128*100-ROUND($D128*100,0))&gt;0.000001,"Visit length: use up to 2 decimals. ",IF($D128&gt;24,"Visit length: 24 hours or less. ",""))))))&amp;IF($E128="","",IF(NOT(ISNUMBER($E128)),"Last visit isn't a date (it's text). ",IF($E128&lt;&gt;INT($E128),"Last visit has a time; enter a date only. ",IF(OR($E128&lt;DATE(2000,1,1),$E128&gt;DATE(2099,12,31)),"Last visit must be from 2000 to 2099. ",IF(AND(IF(ISNUMBER($B128),AND($B128=INT($B128),$B128&gt;=DATE(2000,1,1),$B128&lt;=DATE(2099,12,31)),FALSE()),$E128&lt;$B128),"Last visit is before the first visit. ","")))))))</f>
        <v/>
      </c>
      <c r="J128" s="39" t="n">
        <f aca="false">IF($H128="OK",1,0)</f>
        <v>0</v>
      </c>
      <c r="K128" s="40" t="n">
        <f aca="false">IF($J128=1,$B128,0)</f>
        <v>0</v>
      </c>
      <c r="L128" s="39" t="n">
        <f aca="false">IF($J128=1,7*MATCH($C128&amp;"",{"Weekly","Every 2 weeks","Every 3 weeks","Every 4 weeks"},0),7)</f>
        <v>7</v>
      </c>
      <c r="M128" s="40" t="n">
        <f aca="false">IF($J128=1,IF($E128="",2958465,$E128),0)</f>
        <v>0</v>
      </c>
      <c r="N128" s="39" t="n">
        <f aca="false">IF($J128=1,ROUND($D128*100,0),0)</f>
        <v>0</v>
      </c>
      <c r="O128" s="40" t="str">
        <f aca="false">IF($J128&lt;&gt;1,"",IF(AND((WeekMon+WEEKDAY($K128,2)-1)&gt;=$K128,MOD((WeekMon+WEEKDAY($K128,2)-1)-$K128,$L128)=0,(WeekMon+WEEKDAY($K128,2)-1)&lt;=$M128),(WeekMon+WEEKDAY($K128,2)-1),""))</f>
        <v/>
      </c>
      <c r="P128" s="39" t="str">
        <f aca="false">IF($O128="","",($O128-WeekMon)*1000+ROW()-11)</f>
        <v/>
      </c>
    </row>
    <row r="129" customFormat="false" ht="15" hidden="false" customHeight="false" outlineLevel="0" collapsed="false">
      <c r="A129" s="33"/>
      <c r="B129" s="34"/>
      <c r="C129" s="33"/>
      <c r="D129" s="35"/>
      <c r="E129" s="34"/>
      <c r="F129" s="36" t="str">
        <f aca="false">IF(IF(ISNUMBER($B129),AND($B129=INT($B129),$B129&gt;=DATE(2000,1,1),$B129&lt;=DATE(2099,12,31)),FALSE()),CHOOSE(WEEKDAY($B129,2),"Monday","Tuesday","Wednesday","Thursday","Friday","Saturday","Sunday"),"")</f>
        <v/>
      </c>
      <c r="G129" s="36" t="str">
        <f aca="false">IF($J129&lt;&gt;1,"",MAX(0,INT((MIN(WinStart+83,$M129)-MAX($K129,$K129+ROUNDUP((WinStart-$K129)/$L129,0)*$L129))/$L129)+1))</f>
        <v/>
      </c>
      <c r="H129" s="37" t="str">
        <f aca="false">IF(AND($A129="",$B129="",$C129="",$D129="",$E129=""),"",IF($I129="","OK","Check details"))</f>
        <v/>
      </c>
      <c r="I129" s="38" t="str">
        <f aca="false">IF(AND($A129="",$B129="",$C129="",$D129="",$E129=""),"",TRIM(IF(TRIM($A129&amp;"")="","Label is missing. ","")&amp;IF($B129="","First visit is missing. ",IF(NOT(ISNUMBER($B129)),"First visit isn't a date (it's text). ",IF($B129&lt;&gt;INT($B129),"First visit has a time; enter a date only. ",IF(OR($B129&lt;DATE(2000,1,1),$B129&gt;DATE(2099,12,31)),"First visit must be from 2000 to 2099. ",""))))&amp;IF($C129="","Repeat every is missing. ",IF(ISNA(MATCH($C129&amp;"",{"Weekly","Every 2 weeks","Every 3 weeks","Every 4 weeks"},0)),"Repeat every must be Weekly or Every 2, 3 or 4 weeks. ",""))&amp;IF($D129="","Visit length is missing. ",IF(NOT(ISNUMBER($D129)),"Visit length must be a number of hours. ",IF($D129&lt;0,"Visit length can't be negative. ",IF($D129=0,"Visit length must be more than 0. ",IF(ABS($D129*100-ROUND($D129*100,0))&gt;0.000001,"Visit length: use up to 2 decimals. ",IF($D129&gt;24,"Visit length: 24 hours or less. ",""))))))&amp;IF($E129="","",IF(NOT(ISNUMBER($E129)),"Last visit isn't a date (it's text). ",IF($E129&lt;&gt;INT($E129),"Last visit has a time; enter a date only. ",IF(OR($E129&lt;DATE(2000,1,1),$E129&gt;DATE(2099,12,31)),"Last visit must be from 2000 to 2099. ",IF(AND(IF(ISNUMBER($B129),AND($B129=INT($B129),$B129&gt;=DATE(2000,1,1),$B129&lt;=DATE(2099,12,31)),FALSE()),$E129&lt;$B129),"Last visit is before the first visit. ","")))))))</f>
        <v/>
      </c>
      <c r="J129" s="39" t="n">
        <f aca="false">IF($H129="OK",1,0)</f>
        <v>0</v>
      </c>
      <c r="K129" s="40" t="n">
        <f aca="false">IF($J129=1,$B129,0)</f>
        <v>0</v>
      </c>
      <c r="L129" s="39" t="n">
        <f aca="false">IF($J129=1,7*MATCH($C129&amp;"",{"Weekly","Every 2 weeks","Every 3 weeks","Every 4 weeks"},0),7)</f>
        <v>7</v>
      </c>
      <c r="M129" s="40" t="n">
        <f aca="false">IF($J129=1,IF($E129="",2958465,$E129),0)</f>
        <v>0</v>
      </c>
      <c r="N129" s="39" t="n">
        <f aca="false">IF($J129=1,ROUND($D129*100,0),0)</f>
        <v>0</v>
      </c>
      <c r="O129" s="40" t="str">
        <f aca="false">IF($J129&lt;&gt;1,"",IF(AND((WeekMon+WEEKDAY($K129,2)-1)&gt;=$K129,MOD((WeekMon+WEEKDAY($K129,2)-1)-$K129,$L129)=0,(WeekMon+WEEKDAY($K129,2)-1)&lt;=$M129),(WeekMon+WEEKDAY($K129,2)-1),""))</f>
        <v/>
      </c>
      <c r="P129" s="39" t="str">
        <f aca="false">IF($O129="","",($O129-WeekMon)*1000+ROW()-11)</f>
        <v/>
      </c>
    </row>
    <row r="130" customFormat="false" ht="15" hidden="false" customHeight="false" outlineLevel="0" collapsed="false">
      <c r="A130" s="33"/>
      <c r="B130" s="34"/>
      <c r="C130" s="33"/>
      <c r="D130" s="35"/>
      <c r="E130" s="34"/>
      <c r="F130" s="36" t="str">
        <f aca="false">IF(IF(ISNUMBER($B130),AND($B130=INT($B130),$B130&gt;=DATE(2000,1,1),$B130&lt;=DATE(2099,12,31)),FALSE()),CHOOSE(WEEKDAY($B130,2),"Monday","Tuesday","Wednesday","Thursday","Friday","Saturday","Sunday"),"")</f>
        <v/>
      </c>
      <c r="G130" s="36" t="str">
        <f aca="false">IF($J130&lt;&gt;1,"",MAX(0,INT((MIN(WinStart+83,$M130)-MAX($K130,$K130+ROUNDUP((WinStart-$K130)/$L130,0)*$L130))/$L130)+1))</f>
        <v/>
      </c>
      <c r="H130" s="37" t="str">
        <f aca="false">IF(AND($A130="",$B130="",$C130="",$D130="",$E130=""),"",IF($I130="","OK","Check details"))</f>
        <v/>
      </c>
      <c r="I130" s="38" t="str">
        <f aca="false">IF(AND($A130="",$B130="",$C130="",$D130="",$E130=""),"",TRIM(IF(TRIM($A130&amp;"")="","Label is missing. ","")&amp;IF($B130="","First visit is missing. ",IF(NOT(ISNUMBER($B130)),"First visit isn't a date (it's text). ",IF($B130&lt;&gt;INT($B130),"First visit has a time; enter a date only. ",IF(OR($B130&lt;DATE(2000,1,1),$B130&gt;DATE(2099,12,31)),"First visit must be from 2000 to 2099. ",""))))&amp;IF($C130="","Repeat every is missing. ",IF(ISNA(MATCH($C130&amp;"",{"Weekly","Every 2 weeks","Every 3 weeks","Every 4 weeks"},0)),"Repeat every must be Weekly or Every 2, 3 or 4 weeks. ",""))&amp;IF($D130="","Visit length is missing. ",IF(NOT(ISNUMBER($D130)),"Visit length must be a number of hours. ",IF($D130&lt;0,"Visit length can't be negative. ",IF($D130=0,"Visit length must be more than 0. ",IF(ABS($D130*100-ROUND($D130*100,0))&gt;0.000001,"Visit length: use up to 2 decimals. ",IF($D130&gt;24,"Visit length: 24 hours or less. ",""))))))&amp;IF($E130="","",IF(NOT(ISNUMBER($E130)),"Last visit isn't a date (it's text). ",IF($E130&lt;&gt;INT($E130),"Last visit has a time; enter a date only. ",IF(OR($E130&lt;DATE(2000,1,1),$E130&gt;DATE(2099,12,31)),"Last visit must be from 2000 to 2099. ",IF(AND(IF(ISNUMBER($B130),AND($B130=INT($B130),$B130&gt;=DATE(2000,1,1),$B130&lt;=DATE(2099,12,31)),FALSE()),$E130&lt;$B130),"Last visit is before the first visit. ","")))))))</f>
        <v/>
      </c>
      <c r="J130" s="39" t="n">
        <f aca="false">IF($H130="OK",1,0)</f>
        <v>0</v>
      </c>
      <c r="K130" s="40" t="n">
        <f aca="false">IF($J130=1,$B130,0)</f>
        <v>0</v>
      </c>
      <c r="L130" s="39" t="n">
        <f aca="false">IF($J130=1,7*MATCH($C130&amp;"",{"Weekly","Every 2 weeks","Every 3 weeks","Every 4 weeks"},0),7)</f>
        <v>7</v>
      </c>
      <c r="M130" s="40" t="n">
        <f aca="false">IF($J130=1,IF($E130="",2958465,$E130),0)</f>
        <v>0</v>
      </c>
      <c r="N130" s="39" t="n">
        <f aca="false">IF($J130=1,ROUND($D130*100,0),0)</f>
        <v>0</v>
      </c>
      <c r="O130" s="40" t="str">
        <f aca="false">IF($J130&lt;&gt;1,"",IF(AND((WeekMon+WEEKDAY($K130,2)-1)&gt;=$K130,MOD((WeekMon+WEEKDAY($K130,2)-1)-$K130,$L130)=0,(WeekMon+WEEKDAY($K130,2)-1)&lt;=$M130),(WeekMon+WEEKDAY($K130,2)-1),""))</f>
        <v/>
      </c>
      <c r="P130" s="39" t="str">
        <f aca="false">IF($O130="","",($O130-WeekMon)*1000+ROW()-11)</f>
        <v/>
      </c>
    </row>
    <row r="131" customFormat="false" ht="15" hidden="false" customHeight="false" outlineLevel="0" collapsed="false">
      <c r="A131" s="33"/>
      <c r="B131" s="34"/>
      <c r="C131" s="33"/>
      <c r="D131" s="35"/>
      <c r="E131" s="34"/>
      <c r="F131" s="36" t="str">
        <f aca="false">IF(IF(ISNUMBER($B131),AND($B131=INT($B131),$B131&gt;=DATE(2000,1,1),$B131&lt;=DATE(2099,12,31)),FALSE()),CHOOSE(WEEKDAY($B131,2),"Monday","Tuesday","Wednesday","Thursday","Friday","Saturday","Sunday"),"")</f>
        <v/>
      </c>
      <c r="G131" s="36" t="str">
        <f aca="false">IF($J131&lt;&gt;1,"",MAX(0,INT((MIN(WinStart+83,$M131)-MAX($K131,$K131+ROUNDUP((WinStart-$K131)/$L131,0)*$L131))/$L131)+1))</f>
        <v/>
      </c>
      <c r="H131" s="37" t="str">
        <f aca="false">IF(AND($A131="",$B131="",$C131="",$D131="",$E131=""),"",IF($I131="","OK","Check details"))</f>
        <v/>
      </c>
      <c r="I131" s="38" t="str">
        <f aca="false">IF(AND($A131="",$B131="",$C131="",$D131="",$E131=""),"",TRIM(IF(TRIM($A131&amp;"")="","Label is missing. ","")&amp;IF($B131="","First visit is missing. ",IF(NOT(ISNUMBER($B131)),"First visit isn't a date (it's text). ",IF($B131&lt;&gt;INT($B131),"First visit has a time; enter a date only. ",IF(OR($B131&lt;DATE(2000,1,1),$B131&gt;DATE(2099,12,31)),"First visit must be from 2000 to 2099. ",""))))&amp;IF($C131="","Repeat every is missing. ",IF(ISNA(MATCH($C131&amp;"",{"Weekly","Every 2 weeks","Every 3 weeks","Every 4 weeks"},0)),"Repeat every must be Weekly or Every 2, 3 or 4 weeks. ",""))&amp;IF($D131="","Visit length is missing. ",IF(NOT(ISNUMBER($D131)),"Visit length must be a number of hours. ",IF($D131&lt;0,"Visit length can't be negative. ",IF($D131=0,"Visit length must be more than 0. ",IF(ABS($D131*100-ROUND($D131*100,0))&gt;0.000001,"Visit length: use up to 2 decimals. ",IF($D131&gt;24,"Visit length: 24 hours or less. ",""))))))&amp;IF($E131="","",IF(NOT(ISNUMBER($E131)),"Last visit isn't a date (it's text). ",IF($E131&lt;&gt;INT($E131),"Last visit has a time; enter a date only. ",IF(OR($E131&lt;DATE(2000,1,1),$E131&gt;DATE(2099,12,31)),"Last visit must be from 2000 to 2099. ",IF(AND(IF(ISNUMBER($B131),AND($B131=INT($B131),$B131&gt;=DATE(2000,1,1),$B131&lt;=DATE(2099,12,31)),FALSE()),$E131&lt;$B131),"Last visit is before the first visit. ","")))))))</f>
        <v/>
      </c>
      <c r="J131" s="39" t="n">
        <f aca="false">IF($H131="OK",1,0)</f>
        <v>0</v>
      </c>
      <c r="K131" s="40" t="n">
        <f aca="false">IF($J131=1,$B131,0)</f>
        <v>0</v>
      </c>
      <c r="L131" s="39" t="n">
        <f aca="false">IF($J131=1,7*MATCH($C131&amp;"",{"Weekly","Every 2 weeks","Every 3 weeks","Every 4 weeks"},0),7)</f>
        <v>7</v>
      </c>
      <c r="M131" s="40" t="n">
        <f aca="false">IF($J131=1,IF($E131="",2958465,$E131),0)</f>
        <v>0</v>
      </c>
      <c r="N131" s="39" t="n">
        <f aca="false">IF($J131=1,ROUND($D131*100,0),0)</f>
        <v>0</v>
      </c>
      <c r="O131" s="40" t="str">
        <f aca="false">IF($J131&lt;&gt;1,"",IF(AND((WeekMon+WEEKDAY($K131,2)-1)&gt;=$K131,MOD((WeekMon+WEEKDAY($K131,2)-1)-$K131,$L131)=0,(WeekMon+WEEKDAY($K131,2)-1)&lt;=$M131),(WeekMon+WEEKDAY($K131,2)-1),""))</f>
        <v/>
      </c>
      <c r="P131" s="39" t="str">
        <f aca="false">IF($O131="","",($O131-WeekMon)*1000+ROW()-11)</f>
        <v/>
      </c>
    </row>
    <row r="132" customFormat="false" ht="15" hidden="false" customHeight="false" outlineLevel="0" collapsed="false">
      <c r="A132" s="33"/>
      <c r="B132" s="34"/>
      <c r="C132" s="33"/>
      <c r="D132" s="35"/>
      <c r="E132" s="34"/>
      <c r="F132" s="36" t="str">
        <f aca="false">IF(IF(ISNUMBER($B132),AND($B132=INT($B132),$B132&gt;=DATE(2000,1,1),$B132&lt;=DATE(2099,12,31)),FALSE()),CHOOSE(WEEKDAY($B132,2),"Monday","Tuesday","Wednesday","Thursday","Friday","Saturday","Sunday"),"")</f>
        <v/>
      </c>
      <c r="G132" s="36" t="str">
        <f aca="false">IF($J132&lt;&gt;1,"",MAX(0,INT((MIN(WinStart+83,$M132)-MAX($K132,$K132+ROUNDUP((WinStart-$K132)/$L132,0)*$L132))/$L132)+1))</f>
        <v/>
      </c>
      <c r="H132" s="37" t="str">
        <f aca="false">IF(AND($A132="",$B132="",$C132="",$D132="",$E132=""),"",IF($I132="","OK","Check details"))</f>
        <v/>
      </c>
      <c r="I132" s="38" t="str">
        <f aca="false">IF(AND($A132="",$B132="",$C132="",$D132="",$E132=""),"",TRIM(IF(TRIM($A132&amp;"")="","Label is missing. ","")&amp;IF($B132="","First visit is missing. ",IF(NOT(ISNUMBER($B132)),"First visit isn't a date (it's text). ",IF($B132&lt;&gt;INT($B132),"First visit has a time; enter a date only. ",IF(OR($B132&lt;DATE(2000,1,1),$B132&gt;DATE(2099,12,31)),"First visit must be from 2000 to 2099. ",""))))&amp;IF($C132="","Repeat every is missing. ",IF(ISNA(MATCH($C132&amp;"",{"Weekly","Every 2 weeks","Every 3 weeks","Every 4 weeks"},0)),"Repeat every must be Weekly or Every 2, 3 or 4 weeks. ",""))&amp;IF($D132="","Visit length is missing. ",IF(NOT(ISNUMBER($D132)),"Visit length must be a number of hours. ",IF($D132&lt;0,"Visit length can't be negative. ",IF($D132=0,"Visit length must be more than 0. ",IF(ABS($D132*100-ROUND($D132*100,0))&gt;0.000001,"Visit length: use up to 2 decimals. ",IF($D132&gt;24,"Visit length: 24 hours or less. ",""))))))&amp;IF($E132="","",IF(NOT(ISNUMBER($E132)),"Last visit isn't a date (it's text). ",IF($E132&lt;&gt;INT($E132),"Last visit has a time; enter a date only. ",IF(OR($E132&lt;DATE(2000,1,1),$E132&gt;DATE(2099,12,31)),"Last visit must be from 2000 to 2099. ",IF(AND(IF(ISNUMBER($B132),AND($B132=INT($B132),$B132&gt;=DATE(2000,1,1),$B132&lt;=DATE(2099,12,31)),FALSE()),$E132&lt;$B132),"Last visit is before the first visit. ","")))))))</f>
        <v/>
      </c>
      <c r="J132" s="39" t="n">
        <f aca="false">IF($H132="OK",1,0)</f>
        <v>0</v>
      </c>
      <c r="K132" s="40" t="n">
        <f aca="false">IF($J132=1,$B132,0)</f>
        <v>0</v>
      </c>
      <c r="L132" s="39" t="n">
        <f aca="false">IF($J132=1,7*MATCH($C132&amp;"",{"Weekly","Every 2 weeks","Every 3 weeks","Every 4 weeks"},0),7)</f>
        <v>7</v>
      </c>
      <c r="M132" s="40" t="n">
        <f aca="false">IF($J132=1,IF($E132="",2958465,$E132),0)</f>
        <v>0</v>
      </c>
      <c r="N132" s="39" t="n">
        <f aca="false">IF($J132=1,ROUND($D132*100,0),0)</f>
        <v>0</v>
      </c>
      <c r="O132" s="40" t="str">
        <f aca="false">IF($J132&lt;&gt;1,"",IF(AND((WeekMon+WEEKDAY($K132,2)-1)&gt;=$K132,MOD((WeekMon+WEEKDAY($K132,2)-1)-$K132,$L132)=0,(WeekMon+WEEKDAY($K132,2)-1)&lt;=$M132),(WeekMon+WEEKDAY($K132,2)-1),""))</f>
        <v/>
      </c>
      <c r="P132" s="39" t="str">
        <f aca="false">IF($O132="","",($O132-WeekMon)*1000+ROW()-11)</f>
        <v/>
      </c>
    </row>
    <row r="133" customFormat="false" ht="15" hidden="false" customHeight="false" outlineLevel="0" collapsed="false">
      <c r="A133" s="33"/>
      <c r="B133" s="34"/>
      <c r="C133" s="33"/>
      <c r="D133" s="35"/>
      <c r="E133" s="34"/>
      <c r="F133" s="36" t="str">
        <f aca="false">IF(IF(ISNUMBER($B133),AND($B133=INT($B133),$B133&gt;=DATE(2000,1,1),$B133&lt;=DATE(2099,12,31)),FALSE()),CHOOSE(WEEKDAY($B133,2),"Monday","Tuesday","Wednesday","Thursday","Friday","Saturday","Sunday"),"")</f>
        <v/>
      </c>
      <c r="G133" s="36" t="str">
        <f aca="false">IF($J133&lt;&gt;1,"",MAX(0,INT((MIN(WinStart+83,$M133)-MAX($K133,$K133+ROUNDUP((WinStart-$K133)/$L133,0)*$L133))/$L133)+1))</f>
        <v/>
      </c>
      <c r="H133" s="37" t="str">
        <f aca="false">IF(AND($A133="",$B133="",$C133="",$D133="",$E133=""),"",IF($I133="","OK","Check details"))</f>
        <v/>
      </c>
      <c r="I133" s="38" t="str">
        <f aca="false">IF(AND($A133="",$B133="",$C133="",$D133="",$E133=""),"",TRIM(IF(TRIM($A133&amp;"")="","Label is missing. ","")&amp;IF($B133="","First visit is missing. ",IF(NOT(ISNUMBER($B133)),"First visit isn't a date (it's text). ",IF($B133&lt;&gt;INT($B133),"First visit has a time; enter a date only. ",IF(OR($B133&lt;DATE(2000,1,1),$B133&gt;DATE(2099,12,31)),"First visit must be from 2000 to 2099. ",""))))&amp;IF($C133="","Repeat every is missing. ",IF(ISNA(MATCH($C133&amp;"",{"Weekly","Every 2 weeks","Every 3 weeks","Every 4 weeks"},0)),"Repeat every must be Weekly or Every 2, 3 or 4 weeks. ",""))&amp;IF($D133="","Visit length is missing. ",IF(NOT(ISNUMBER($D133)),"Visit length must be a number of hours. ",IF($D133&lt;0,"Visit length can't be negative. ",IF($D133=0,"Visit length must be more than 0. ",IF(ABS($D133*100-ROUND($D133*100,0))&gt;0.000001,"Visit length: use up to 2 decimals. ",IF($D133&gt;24,"Visit length: 24 hours or less. ",""))))))&amp;IF($E133="","",IF(NOT(ISNUMBER($E133)),"Last visit isn't a date (it's text). ",IF($E133&lt;&gt;INT($E133),"Last visit has a time; enter a date only. ",IF(OR($E133&lt;DATE(2000,1,1),$E133&gt;DATE(2099,12,31)),"Last visit must be from 2000 to 2099. ",IF(AND(IF(ISNUMBER($B133),AND($B133=INT($B133),$B133&gt;=DATE(2000,1,1),$B133&lt;=DATE(2099,12,31)),FALSE()),$E133&lt;$B133),"Last visit is before the first visit. ","")))))))</f>
        <v/>
      </c>
      <c r="J133" s="39" t="n">
        <f aca="false">IF($H133="OK",1,0)</f>
        <v>0</v>
      </c>
      <c r="K133" s="40" t="n">
        <f aca="false">IF($J133=1,$B133,0)</f>
        <v>0</v>
      </c>
      <c r="L133" s="39" t="n">
        <f aca="false">IF($J133=1,7*MATCH($C133&amp;"",{"Weekly","Every 2 weeks","Every 3 weeks","Every 4 weeks"},0),7)</f>
        <v>7</v>
      </c>
      <c r="M133" s="40" t="n">
        <f aca="false">IF($J133=1,IF($E133="",2958465,$E133),0)</f>
        <v>0</v>
      </c>
      <c r="N133" s="39" t="n">
        <f aca="false">IF($J133=1,ROUND($D133*100,0),0)</f>
        <v>0</v>
      </c>
      <c r="O133" s="40" t="str">
        <f aca="false">IF($J133&lt;&gt;1,"",IF(AND((WeekMon+WEEKDAY($K133,2)-1)&gt;=$K133,MOD((WeekMon+WEEKDAY($K133,2)-1)-$K133,$L133)=0,(WeekMon+WEEKDAY($K133,2)-1)&lt;=$M133),(WeekMon+WEEKDAY($K133,2)-1),""))</f>
        <v/>
      </c>
      <c r="P133" s="39" t="str">
        <f aca="false">IF($O133="","",($O133-WeekMon)*1000+ROW()-11)</f>
        <v/>
      </c>
    </row>
    <row r="134" customFormat="false" ht="15" hidden="false" customHeight="false" outlineLevel="0" collapsed="false">
      <c r="A134" s="33"/>
      <c r="B134" s="34"/>
      <c r="C134" s="33"/>
      <c r="D134" s="35"/>
      <c r="E134" s="34"/>
      <c r="F134" s="36" t="str">
        <f aca="false">IF(IF(ISNUMBER($B134),AND($B134=INT($B134),$B134&gt;=DATE(2000,1,1),$B134&lt;=DATE(2099,12,31)),FALSE()),CHOOSE(WEEKDAY($B134,2),"Monday","Tuesday","Wednesday","Thursday","Friday","Saturday","Sunday"),"")</f>
        <v/>
      </c>
      <c r="G134" s="36" t="str">
        <f aca="false">IF($J134&lt;&gt;1,"",MAX(0,INT((MIN(WinStart+83,$M134)-MAX($K134,$K134+ROUNDUP((WinStart-$K134)/$L134,0)*$L134))/$L134)+1))</f>
        <v/>
      </c>
      <c r="H134" s="37" t="str">
        <f aca="false">IF(AND($A134="",$B134="",$C134="",$D134="",$E134=""),"",IF($I134="","OK","Check details"))</f>
        <v/>
      </c>
      <c r="I134" s="38" t="str">
        <f aca="false">IF(AND($A134="",$B134="",$C134="",$D134="",$E134=""),"",TRIM(IF(TRIM($A134&amp;"")="","Label is missing. ","")&amp;IF($B134="","First visit is missing. ",IF(NOT(ISNUMBER($B134)),"First visit isn't a date (it's text). ",IF($B134&lt;&gt;INT($B134),"First visit has a time; enter a date only. ",IF(OR($B134&lt;DATE(2000,1,1),$B134&gt;DATE(2099,12,31)),"First visit must be from 2000 to 2099. ",""))))&amp;IF($C134="","Repeat every is missing. ",IF(ISNA(MATCH($C134&amp;"",{"Weekly","Every 2 weeks","Every 3 weeks","Every 4 weeks"},0)),"Repeat every must be Weekly or Every 2, 3 or 4 weeks. ",""))&amp;IF($D134="","Visit length is missing. ",IF(NOT(ISNUMBER($D134)),"Visit length must be a number of hours. ",IF($D134&lt;0,"Visit length can't be negative. ",IF($D134=0,"Visit length must be more than 0. ",IF(ABS($D134*100-ROUND($D134*100,0))&gt;0.000001,"Visit length: use up to 2 decimals. ",IF($D134&gt;24,"Visit length: 24 hours or less. ",""))))))&amp;IF($E134="","",IF(NOT(ISNUMBER($E134)),"Last visit isn't a date (it's text). ",IF($E134&lt;&gt;INT($E134),"Last visit has a time; enter a date only. ",IF(OR($E134&lt;DATE(2000,1,1),$E134&gt;DATE(2099,12,31)),"Last visit must be from 2000 to 2099. ",IF(AND(IF(ISNUMBER($B134),AND($B134=INT($B134),$B134&gt;=DATE(2000,1,1),$B134&lt;=DATE(2099,12,31)),FALSE()),$E134&lt;$B134),"Last visit is before the first visit. ","")))))))</f>
        <v/>
      </c>
      <c r="J134" s="39" t="n">
        <f aca="false">IF($H134="OK",1,0)</f>
        <v>0</v>
      </c>
      <c r="K134" s="40" t="n">
        <f aca="false">IF($J134=1,$B134,0)</f>
        <v>0</v>
      </c>
      <c r="L134" s="39" t="n">
        <f aca="false">IF($J134=1,7*MATCH($C134&amp;"",{"Weekly","Every 2 weeks","Every 3 weeks","Every 4 weeks"},0),7)</f>
        <v>7</v>
      </c>
      <c r="M134" s="40" t="n">
        <f aca="false">IF($J134=1,IF($E134="",2958465,$E134),0)</f>
        <v>0</v>
      </c>
      <c r="N134" s="39" t="n">
        <f aca="false">IF($J134=1,ROUND($D134*100,0),0)</f>
        <v>0</v>
      </c>
      <c r="O134" s="40" t="str">
        <f aca="false">IF($J134&lt;&gt;1,"",IF(AND((WeekMon+WEEKDAY($K134,2)-1)&gt;=$K134,MOD((WeekMon+WEEKDAY($K134,2)-1)-$K134,$L134)=0,(WeekMon+WEEKDAY($K134,2)-1)&lt;=$M134),(WeekMon+WEEKDAY($K134,2)-1),""))</f>
        <v/>
      </c>
      <c r="P134" s="39" t="str">
        <f aca="false">IF($O134="","",($O134-WeekMon)*1000+ROW()-11)</f>
        <v/>
      </c>
    </row>
    <row r="135" customFormat="false" ht="15" hidden="false" customHeight="false" outlineLevel="0" collapsed="false">
      <c r="A135" s="33"/>
      <c r="B135" s="34"/>
      <c r="C135" s="33"/>
      <c r="D135" s="35"/>
      <c r="E135" s="34"/>
      <c r="F135" s="36" t="str">
        <f aca="false">IF(IF(ISNUMBER($B135),AND($B135=INT($B135),$B135&gt;=DATE(2000,1,1),$B135&lt;=DATE(2099,12,31)),FALSE()),CHOOSE(WEEKDAY($B135,2),"Monday","Tuesday","Wednesday","Thursday","Friday","Saturday","Sunday"),"")</f>
        <v/>
      </c>
      <c r="G135" s="36" t="str">
        <f aca="false">IF($J135&lt;&gt;1,"",MAX(0,INT((MIN(WinStart+83,$M135)-MAX($K135,$K135+ROUNDUP((WinStart-$K135)/$L135,0)*$L135))/$L135)+1))</f>
        <v/>
      </c>
      <c r="H135" s="37" t="str">
        <f aca="false">IF(AND($A135="",$B135="",$C135="",$D135="",$E135=""),"",IF($I135="","OK","Check details"))</f>
        <v/>
      </c>
      <c r="I135" s="38" t="str">
        <f aca="false">IF(AND($A135="",$B135="",$C135="",$D135="",$E135=""),"",TRIM(IF(TRIM($A135&amp;"")="","Label is missing. ","")&amp;IF($B135="","First visit is missing. ",IF(NOT(ISNUMBER($B135)),"First visit isn't a date (it's text). ",IF($B135&lt;&gt;INT($B135),"First visit has a time; enter a date only. ",IF(OR($B135&lt;DATE(2000,1,1),$B135&gt;DATE(2099,12,31)),"First visit must be from 2000 to 2099. ",""))))&amp;IF($C135="","Repeat every is missing. ",IF(ISNA(MATCH($C135&amp;"",{"Weekly","Every 2 weeks","Every 3 weeks","Every 4 weeks"},0)),"Repeat every must be Weekly or Every 2, 3 or 4 weeks. ",""))&amp;IF($D135="","Visit length is missing. ",IF(NOT(ISNUMBER($D135)),"Visit length must be a number of hours. ",IF($D135&lt;0,"Visit length can't be negative. ",IF($D135=0,"Visit length must be more than 0. ",IF(ABS($D135*100-ROUND($D135*100,0))&gt;0.000001,"Visit length: use up to 2 decimals. ",IF($D135&gt;24,"Visit length: 24 hours or less. ",""))))))&amp;IF($E135="","",IF(NOT(ISNUMBER($E135)),"Last visit isn't a date (it's text). ",IF($E135&lt;&gt;INT($E135),"Last visit has a time; enter a date only. ",IF(OR($E135&lt;DATE(2000,1,1),$E135&gt;DATE(2099,12,31)),"Last visit must be from 2000 to 2099. ",IF(AND(IF(ISNUMBER($B135),AND($B135=INT($B135),$B135&gt;=DATE(2000,1,1),$B135&lt;=DATE(2099,12,31)),FALSE()),$E135&lt;$B135),"Last visit is before the first visit. ","")))))))</f>
        <v/>
      </c>
      <c r="J135" s="39" t="n">
        <f aca="false">IF($H135="OK",1,0)</f>
        <v>0</v>
      </c>
      <c r="K135" s="40" t="n">
        <f aca="false">IF($J135=1,$B135,0)</f>
        <v>0</v>
      </c>
      <c r="L135" s="39" t="n">
        <f aca="false">IF($J135=1,7*MATCH($C135&amp;"",{"Weekly","Every 2 weeks","Every 3 weeks","Every 4 weeks"},0),7)</f>
        <v>7</v>
      </c>
      <c r="M135" s="40" t="n">
        <f aca="false">IF($J135=1,IF($E135="",2958465,$E135),0)</f>
        <v>0</v>
      </c>
      <c r="N135" s="39" t="n">
        <f aca="false">IF($J135=1,ROUND($D135*100,0),0)</f>
        <v>0</v>
      </c>
      <c r="O135" s="40" t="str">
        <f aca="false">IF($J135&lt;&gt;1,"",IF(AND((WeekMon+WEEKDAY($K135,2)-1)&gt;=$K135,MOD((WeekMon+WEEKDAY($K135,2)-1)-$K135,$L135)=0,(WeekMon+WEEKDAY($K135,2)-1)&lt;=$M135),(WeekMon+WEEKDAY($K135,2)-1),""))</f>
        <v/>
      </c>
      <c r="P135" s="39" t="str">
        <f aca="false">IF($O135="","",($O135-WeekMon)*1000+ROW()-11)</f>
        <v/>
      </c>
    </row>
    <row r="136" customFormat="false" ht="15" hidden="false" customHeight="false" outlineLevel="0" collapsed="false">
      <c r="A136" s="33"/>
      <c r="B136" s="34"/>
      <c r="C136" s="33"/>
      <c r="D136" s="35"/>
      <c r="E136" s="34"/>
      <c r="F136" s="36" t="str">
        <f aca="false">IF(IF(ISNUMBER($B136),AND($B136=INT($B136),$B136&gt;=DATE(2000,1,1),$B136&lt;=DATE(2099,12,31)),FALSE()),CHOOSE(WEEKDAY($B136,2),"Monday","Tuesday","Wednesday","Thursday","Friday","Saturday","Sunday"),"")</f>
        <v/>
      </c>
      <c r="G136" s="36" t="str">
        <f aca="false">IF($J136&lt;&gt;1,"",MAX(0,INT((MIN(WinStart+83,$M136)-MAX($K136,$K136+ROUNDUP((WinStart-$K136)/$L136,0)*$L136))/$L136)+1))</f>
        <v/>
      </c>
      <c r="H136" s="37" t="str">
        <f aca="false">IF(AND($A136="",$B136="",$C136="",$D136="",$E136=""),"",IF($I136="","OK","Check details"))</f>
        <v/>
      </c>
      <c r="I136" s="38" t="str">
        <f aca="false">IF(AND($A136="",$B136="",$C136="",$D136="",$E136=""),"",TRIM(IF(TRIM($A136&amp;"")="","Label is missing. ","")&amp;IF($B136="","First visit is missing. ",IF(NOT(ISNUMBER($B136)),"First visit isn't a date (it's text). ",IF($B136&lt;&gt;INT($B136),"First visit has a time; enter a date only. ",IF(OR($B136&lt;DATE(2000,1,1),$B136&gt;DATE(2099,12,31)),"First visit must be from 2000 to 2099. ",""))))&amp;IF($C136="","Repeat every is missing. ",IF(ISNA(MATCH($C136&amp;"",{"Weekly","Every 2 weeks","Every 3 weeks","Every 4 weeks"},0)),"Repeat every must be Weekly or Every 2, 3 or 4 weeks. ",""))&amp;IF($D136="","Visit length is missing. ",IF(NOT(ISNUMBER($D136)),"Visit length must be a number of hours. ",IF($D136&lt;0,"Visit length can't be negative. ",IF($D136=0,"Visit length must be more than 0. ",IF(ABS($D136*100-ROUND($D136*100,0))&gt;0.000001,"Visit length: use up to 2 decimals. ",IF($D136&gt;24,"Visit length: 24 hours or less. ",""))))))&amp;IF($E136="","",IF(NOT(ISNUMBER($E136)),"Last visit isn't a date (it's text). ",IF($E136&lt;&gt;INT($E136),"Last visit has a time; enter a date only. ",IF(OR($E136&lt;DATE(2000,1,1),$E136&gt;DATE(2099,12,31)),"Last visit must be from 2000 to 2099. ",IF(AND(IF(ISNUMBER($B136),AND($B136=INT($B136),$B136&gt;=DATE(2000,1,1),$B136&lt;=DATE(2099,12,31)),FALSE()),$E136&lt;$B136),"Last visit is before the first visit. ","")))))))</f>
        <v/>
      </c>
      <c r="J136" s="39" t="n">
        <f aca="false">IF($H136="OK",1,0)</f>
        <v>0</v>
      </c>
      <c r="K136" s="40" t="n">
        <f aca="false">IF($J136=1,$B136,0)</f>
        <v>0</v>
      </c>
      <c r="L136" s="39" t="n">
        <f aca="false">IF($J136=1,7*MATCH($C136&amp;"",{"Weekly","Every 2 weeks","Every 3 weeks","Every 4 weeks"},0),7)</f>
        <v>7</v>
      </c>
      <c r="M136" s="40" t="n">
        <f aca="false">IF($J136=1,IF($E136="",2958465,$E136),0)</f>
        <v>0</v>
      </c>
      <c r="N136" s="39" t="n">
        <f aca="false">IF($J136=1,ROUND($D136*100,0),0)</f>
        <v>0</v>
      </c>
      <c r="O136" s="40" t="str">
        <f aca="false">IF($J136&lt;&gt;1,"",IF(AND((WeekMon+WEEKDAY($K136,2)-1)&gt;=$K136,MOD((WeekMon+WEEKDAY($K136,2)-1)-$K136,$L136)=0,(WeekMon+WEEKDAY($K136,2)-1)&lt;=$M136),(WeekMon+WEEKDAY($K136,2)-1),""))</f>
        <v/>
      </c>
      <c r="P136" s="39" t="str">
        <f aca="false">IF($O136="","",($O136-WeekMon)*1000+ROW()-11)</f>
        <v/>
      </c>
    </row>
    <row r="137" customFormat="false" ht="15" hidden="false" customHeight="false" outlineLevel="0" collapsed="false">
      <c r="A137" s="33"/>
      <c r="B137" s="34"/>
      <c r="C137" s="33"/>
      <c r="D137" s="35"/>
      <c r="E137" s="34"/>
      <c r="F137" s="36" t="str">
        <f aca="false">IF(IF(ISNUMBER($B137),AND($B137=INT($B137),$B137&gt;=DATE(2000,1,1),$B137&lt;=DATE(2099,12,31)),FALSE()),CHOOSE(WEEKDAY($B137,2),"Monday","Tuesday","Wednesday","Thursday","Friday","Saturday","Sunday"),"")</f>
        <v/>
      </c>
      <c r="G137" s="36" t="str">
        <f aca="false">IF($J137&lt;&gt;1,"",MAX(0,INT((MIN(WinStart+83,$M137)-MAX($K137,$K137+ROUNDUP((WinStart-$K137)/$L137,0)*$L137))/$L137)+1))</f>
        <v/>
      </c>
      <c r="H137" s="37" t="str">
        <f aca="false">IF(AND($A137="",$B137="",$C137="",$D137="",$E137=""),"",IF($I137="","OK","Check details"))</f>
        <v/>
      </c>
      <c r="I137" s="38" t="str">
        <f aca="false">IF(AND($A137="",$B137="",$C137="",$D137="",$E137=""),"",TRIM(IF(TRIM($A137&amp;"")="","Label is missing. ","")&amp;IF($B137="","First visit is missing. ",IF(NOT(ISNUMBER($B137)),"First visit isn't a date (it's text). ",IF($B137&lt;&gt;INT($B137),"First visit has a time; enter a date only. ",IF(OR($B137&lt;DATE(2000,1,1),$B137&gt;DATE(2099,12,31)),"First visit must be from 2000 to 2099. ",""))))&amp;IF($C137="","Repeat every is missing. ",IF(ISNA(MATCH($C137&amp;"",{"Weekly","Every 2 weeks","Every 3 weeks","Every 4 weeks"},0)),"Repeat every must be Weekly or Every 2, 3 or 4 weeks. ",""))&amp;IF($D137="","Visit length is missing. ",IF(NOT(ISNUMBER($D137)),"Visit length must be a number of hours. ",IF($D137&lt;0,"Visit length can't be negative. ",IF($D137=0,"Visit length must be more than 0. ",IF(ABS($D137*100-ROUND($D137*100,0))&gt;0.000001,"Visit length: use up to 2 decimals. ",IF($D137&gt;24,"Visit length: 24 hours or less. ",""))))))&amp;IF($E137="","",IF(NOT(ISNUMBER($E137)),"Last visit isn't a date (it's text). ",IF($E137&lt;&gt;INT($E137),"Last visit has a time; enter a date only. ",IF(OR($E137&lt;DATE(2000,1,1),$E137&gt;DATE(2099,12,31)),"Last visit must be from 2000 to 2099. ",IF(AND(IF(ISNUMBER($B137),AND($B137=INT($B137),$B137&gt;=DATE(2000,1,1),$B137&lt;=DATE(2099,12,31)),FALSE()),$E137&lt;$B137),"Last visit is before the first visit. ","")))))))</f>
        <v/>
      </c>
      <c r="J137" s="39" t="n">
        <f aca="false">IF($H137="OK",1,0)</f>
        <v>0</v>
      </c>
      <c r="K137" s="40" t="n">
        <f aca="false">IF($J137=1,$B137,0)</f>
        <v>0</v>
      </c>
      <c r="L137" s="39" t="n">
        <f aca="false">IF($J137=1,7*MATCH($C137&amp;"",{"Weekly","Every 2 weeks","Every 3 weeks","Every 4 weeks"},0),7)</f>
        <v>7</v>
      </c>
      <c r="M137" s="40" t="n">
        <f aca="false">IF($J137=1,IF($E137="",2958465,$E137),0)</f>
        <v>0</v>
      </c>
      <c r="N137" s="39" t="n">
        <f aca="false">IF($J137=1,ROUND($D137*100,0),0)</f>
        <v>0</v>
      </c>
      <c r="O137" s="40" t="str">
        <f aca="false">IF($J137&lt;&gt;1,"",IF(AND((WeekMon+WEEKDAY($K137,2)-1)&gt;=$K137,MOD((WeekMon+WEEKDAY($K137,2)-1)-$K137,$L137)=0,(WeekMon+WEEKDAY($K137,2)-1)&lt;=$M137),(WeekMon+WEEKDAY($K137,2)-1),""))</f>
        <v/>
      </c>
      <c r="P137" s="39" t="str">
        <f aca="false">IF($O137="","",($O137-WeekMon)*1000+ROW()-11)</f>
        <v/>
      </c>
    </row>
    <row r="138" customFormat="false" ht="15" hidden="false" customHeight="false" outlineLevel="0" collapsed="false">
      <c r="A138" s="33"/>
      <c r="B138" s="34"/>
      <c r="C138" s="33"/>
      <c r="D138" s="35"/>
      <c r="E138" s="34"/>
      <c r="F138" s="36" t="str">
        <f aca="false">IF(IF(ISNUMBER($B138),AND($B138=INT($B138),$B138&gt;=DATE(2000,1,1),$B138&lt;=DATE(2099,12,31)),FALSE()),CHOOSE(WEEKDAY($B138,2),"Monday","Tuesday","Wednesday","Thursday","Friday","Saturday","Sunday"),"")</f>
        <v/>
      </c>
      <c r="G138" s="36" t="str">
        <f aca="false">IF($J138&lt;&gt;1,"",MAX(0,INT((MIN(WinStart+83,$M138)-MAX($K138,$K138+ROUNDUP((WinStart-$K138)/$L138,0)*$L138))/$L138)+1))</f>
        <v/>
      </c>
      <c r="H138" s="37" t="str">
        <f aca="false">IF(AND($A138="",$B138="",$C138="",$D138="",$E138=""),"",IF($I138="","OK","Check details"))</f>
        <v/>
      </c>
      <c r="I138" s="38" t="str">
        <f aca="false">IF(AND($A138="",$B138="",$C138="",$D138="",$E138=""),"",TRIM(IF(TRIM($A138&amp;"")="","Label is missing. ","")&amp;IF($B138="","First visit is missing. ",IF(NOT(ISNUMBER($B138)),"First visit isn't a date (it's text). ",IF($B138&lt;&gt;INT($B138),"First visit has a time; enter a date only. ",IF(OR($B138&lt;DATE(2000,1,1),$B138&gt;DATE(2099,12,31)),"First visit must be from 2000 to 2099. ",""))))&amp;IF($C138="","Repeat every is missing. ",IF(ISNA(MATCH($C138&amp;"",{"Weekly","Every 2 weeks","Every 3 weeks","Every 4 weeks"},0)),"Repeat every must be Weekly or Every 2, 3 or 4 weeks. ",""))&amp;IF($D138="","Visit length is missing. ",IF(NOT(ISNUMBER($D138)),"Visit length must be a number of hours. ",IF($D138&lt;0,"Visit length can't be negative. ",IF($D138=0,"Visit length must be more than 0. ",IF(ABS($D138*100-ROUND($D138*100,0))&gt;0.000001,"Visit length: use up to 2 decimals. ",IF($D138&gt;24,"Visit length: 24 hours or less. ",""))))))&amp;IF($E138="","",IF(NOT(ISNUMBER($E138)),"Last visit isn't a date (it's text). ",IF($E138&lt;&gt;INT($E138),"Last visit has a time; enter a date only. ",IF(OR($E138&lt;DATE(2000,1,1),$E138&gt;DATE(2099,12,31)),"Last visit must be from 2000 to 2099. ",IF(AND(IF(ISNUMBER($B138),AND($B138=INT($B138),$B138&gt;=DATE(2000,1,1),$B138&lt;=DATE(2099,12,31)),FALSE()),$E138&lt;$B138),"Last visit is before the first visit. ","")))))))</f>
        <v/>
      </c>
      <c r="J138" s="39" t="n">
        <f aca="false">IF($H138="OK",1,0)</f>
        <v>0</v>
      </c>
      <c r="K138" s="40" t="n">
        <f aca="false">IF($J138=1,$B138,0)</f>
        <v>0</v>
      </c>
      <c r="L138" s="39" t="n">
        <f aca="false">IF($J138=1,7*MATCH($C138&amp;"",{"Weekly","Every 2 weeks","Every 3 weeks","Every 4 weeks"},0),7)</f>
        <v>7</v>
      </c>
      <c r="M138" s="40" t="n">
        <f aca="false">IF($J138=1,IF($E138="",2958465,$E138),0)</f>
        <v>0</v>
      </c>
      <c r="N138" s="39" t="n">
        <f aca="false">IF($J138=1,ROUND($D138*100,0),0)</f>
        <v>0</v>
      </c>
      <c r="O138" s="40" t="str">
        <f aca="false">IF($J138&lt;&gt;1,"",IF(AND((WeekMon+WEEKDAY($K138,2)-1)&gt;=$K138,MOD((WeekMon+WEEKDAY($K138,2)-1)-$K138,$L138)=0,(WeekMon+WEEKDAY($K138,2)-1)&lt;=$M138),(WeekMon+WEEKDAY($K138,2)-1),""))</f>
        <v/>
      </c>
      <c r="P138" s="39" t="str">
        <f aca="false">IF($O138="","",($O138-WeekMon)*1000+ROW()-11)</f>
        <v/>
      </c>
    </row>
    <row r="139" customFormat="false" ht="15" hidden="false" customHeight="false" outlineLevel="0" collapsed="false">
      <c r="A139" s="33"/>
      <c r="B139" s="34"/>
      <c r="C139" s="33"/>
      <c r="D139" s="35"/>
      <c r="E139" s="34"/>
      <c r="F139" s="36" t="str">
        <f aca="false">IF(IF(ISNUMBER($B139),AND($B139=INT($B139),$B139&gt;=DATE(2000,1,1),$B139&lt;=DATE(2099,12,31)),FALSE()),CHOOSE(WEEKDAY($B139,2),"Monday","Tuesday","Wednesday","Thursday","Friday","Saturday","Sunday"),"")</f>
        <v/>
      </c>
      <c r="G139" s="36" t="str">
        <f aca="false">IF($J139&lt;&gt;1,"",MAX(0,INT((MIN(WinStart+83,$M139)-MAX($K139,$K139+ROUNDUP((WinStart-$K139)/$L139,0)*$L139))/$L139)+1))</f>
        <v/>
      </c>
      <c r="H139" s="37" t="str">
        <f aca="false">IF(AND($A139="",$B139="",$C139="",$D139="",$E139=""),"",IF($I139="","OK","Check details"))</f>
        <v/>
      </c>
      <c r="I139" s="38" t="str">
        <f aca="false">IF(AND($A139="",$B139="",$C139="",$D139="",$E139=""),"",TRIM(IF(TRIM($A139&amp;"")="","Label is missing. ","")&amp;IF($B139="","First visit is missing. ",IF(NOT(ISNUMBER($B139)),"First visit isn't a date (it's text). ",IF($B139&lt;&gt;INT($B139),"First visit has a time; enter a date only. ",IF(OR($B139&lt;DATE(2000,1,1),$B139&gt;DATE(2099,12,31)),"First visit must be from 2000 to 2099. ",""))))&amp;IF($C139="","Repeat every is missing. ",IF(ISNA(MATCH($C139&amp;"",{"Weekly","Every 2 weeks","Every 3 weeks","Every 4 weeks"},0)),"Repeat every must be Weekly or Every 2, 3 or 4 weeks. ",""))&amp;IF($D139="","Visit length is missing. ",IF(NOT(ISNUMBER($D139)),"Visit length must be a number of hours. ",IF($D139&lt;0,"Visit length can't be negative. ",IF($D139=0,"Visit length must be more than 0. ",IF(ABS($D139*100-ROUND($D139*100,0))&gt;0.000001,"Visit length: use up to 2 decimals. ",IF($D139&gt;24,"Visit length: 24 hours or less. ",""))))))&amp;IF($E139="","",IF(NOT(ISNUMBER($E139)),"Last visit isn't a date (it's text). ",IF($E139&lt;&gt;INT($E139),"Last visit has a time; enter a date only. ",IF(OR($E139&lt;DATE(2000,1,1),$E139&gt;DATE(2099,12,31)),"Last visit must be from 2000 to 2099. ",IF(AND(IF(ISNUMBER($B139),AND($B139=INT($B139),$B139&gt;=DATE(2000,1,1),$B139&lt;=DATE(2099,12,31)),FALSE()),$E139&lt;$B139),"Last visit is before the first visit. ","")))))))</f>
        <v/>
      </c>
      <c r="J139" s="39" t="n">
        <f aca="false">IF($H139="OK",1,0)</f>
        <v>0</v>
      </c>
      <c r="K139" s="40" t="n">
        <f aca="false">IF($J139=1,$B139,0)</f>
        <v>0</v>
      </c>
      <c r="L139" s="39" t="n">
        <f aca="false">IF($J139=1,7*MATCH($C139&amp;"",{"Weekly","Every 2 weeks","Every 3 weeks","Every 4 weeks"},0),7)</f>
        <v>7</v>
      </c>
      <c r="M139" s="40" t="n">
        <f aca="false">IF($J139=1,IF($E139="",2958465,$E139),0)</f>
        <v>0</v>
      </c>
      <c r="N139" s="39" t="n">
        <f aca="false">IF($J139=1,ROUND($D139*100,0),0)</f>
        <v>0</v>
      </c>
      <c r="O139" s="40" t="str">
        <f aca="false">IF($J139&lt;&gt;1,"",IF(AND((WeekMon+WEEKDAY($K139,2)-1)&gt;=$K139,MOD((WeekMon+WEEKDAY($K139,2)-1)-$K139,$L139)=0,(WeekMon+WEEKDAY($K139,2)-1)&lt;=$M139),(WeekMon+WEEKDAY($K139,2)-1),""))</f>
        <v/>
      </c>
      <c r="P139" s="39" t="str">
        <f aca="false">IF($O139="","",($O139-WeekMon)*1000+ROW()-11)</f>
        <v/>
      </c>
    </row>
    <row r="140" customFormat="false" ht="15" hidden="false" customHeight="false" outlineLevel="0" collapsed="false">
      <c r="A140" s="33"/>
      <c r="B140" s="34"/>
      <c r="C140" s="33"/>
      <c r="D140" s="35"/>
      <c r="E140" s="34"/>
      <c r="F140" s="36" t="str">
        <f aca="false">IF(IF(ISNUMBER($B140),AND($B140=INT($B140),$B140&gt;=DATE(2000,1,1),$B140&lt;=DATE(2099,12,31)),FALSE()),CHOOSE(WEEKDAY($B140,2),"Monday","Tuesday","Wednesday","Thursday","Friday","Saturday","Sunday"),"")</f>
        <v/>
      </c>
      <c r="G140" s="36" t="str">
        <f aca="false">IF($J140&lt;&gt;1,"",MAX(0,INT((MIN(WinStart+83,$M140)-MAX($K140,$K140+ROUNDUP((WinStart-$K140)/$L140,0)*$L140))/$L140)+1))</f>
        <v/>
      </c>
      <c r="H140" s="37" t="str">
        <f aca="false">IF(AND($A140="",$B140="",$C140="",$D140="",$E140=""),"",IF($I140="","OK","Check details"))</f>
        <v/>
      </c>
      <c r="I140" s="38" t="str">
        <f aca="false">IF(AND($A140="",$B140="",$C140="",$D140="",$E140=""),"",TRIM(IF(TRIM($A140&amp;"")="","Label is missing. ","")&amp;IF($B140="","First visit is missing. ",IF(NOT(ISNUMBER($B140)),"First visit isn't a date (it's text). ",IF($B140&lt;&gt;INT($B140),"First visit has a time; enter a date only. ",IF(OR($B140&lt;DATE(2000,1,1),$B140&gt;DATE(2099,12,31)),"First visit must be from 2000 to 2099. ",""))))&amp;IF($C140="","Repeat every is missing. ",IF(ISNA(MATCH($C140&amp;"",{"Weekly","Every 2 weeks","Every 3 weeks","Every 4 weeks"},0)),"Repeat every must be Weekly or Every 2, 3 or 4 weeks. ",""))&amp;IF($D140="","Visit length is missing. ",IF(NOT(ISNUMBER($D140)),"Visit length must be a number of hours. ",IF($D140&lt;0,"Visit length can't be negative. ",IF($D140=0,"Visit length must be more than 0. ",IF(ABS($D140*100-ROUND($D140*100,0))&gt;0.000001,"Visit length: use up to 2 decimals. ",IF($D140&gt;24,"Visit length: 24 hours or less. ",""))))))&amp;IF($E140="","",IF(NOT(ISNUMBER($E140)),"Last visit isn't a date (it's text). ",IF($E140&lt;&gt;INT($E140),"Last visit has a time; enter a date only. ",IF(OR($E140&lt;DATE(2000,1,1),$E140&gt;DATE(2099,12,31)),"Last visit must be from 2000 to 2099. ",IF(AND(IF(ISNUMBER($B140),AND($B140=INT($B140),$B140&gt;=DATE(2000,1,1),$B140&lt;=DATE(2099,12,31)),FALSE()),$E140&lt;$B140),"Last visit is before the first visit. ","")))))))</f>
        <v/>
      </c>
      <c r="J140" s="39" t="n">
        <f aca="false">IF($H140="OK",1,0)</f>
        <v>0</v>
      </c>
      <c r="K140" s="40" t="n">
        <f aca="false">IF($J140=1,$B140,0)</f>
        <v>0</v>
      </c>
      <c r="L140" s="39" t="n">
        <f aca="false">IF($J140=1,7*MATCH($C140&amp;"",{"Weekly","Every 2 weeks","Every 3 weeks","Every 4 weeks"},0),7)</f>
        <v>7</v>
      </c>
      <c r="M140" s="40" t="n">
        <f aca="false">IF($J140=1,IF($E140="",2958465,$E140),0)</f>
        <v>0</v>
      </c>
      <c r="N140" s="39" t="n">
        <f aca="false">IF($J140=1,ROUND($D140*100,0),0)</f>
        <v>0</v>
      </c>
      <c r="O140" s="40" t="str">
        <f aca="false">IF($J140&lt;&gt;1,"",IF(AND((WeekMon+WEEKDAY($K140,2)-1)&gt;=$K140,MOD((WeekMon+WEEKDAY($K140,2)-1)-$K140,$L140)=0,(WeekMon+WEEKDAY($K140,2)-1)&lt;=$M140),(WeekMon+WEEKDAY($K140,2)-1),""))</f>
        <v/>
      </c>
      <c r="P140" s="39" t="str">
        <f aca="false">IF($O140="","",($O140-WeekMon)*1000+ROW()-11)</f>
        <v/>
      </c>
    </row>
    <row r="141" customFormat="false" ht="15" hidden="false" customHeight="false" outlineLevel="0" collapsed="false">
      <c r="A141" s="33"/>
      <c r="B141" s="34"/>
      <c r="C141" s="33"/>
      <c r="D141" s="35"/>
      <c r="E141" s="34"/>
      <c r="F141" s="36" t="str">
        <f aca="false">IF(IF(ISNUMBER($B141),AND($B141=INT($B141),$B141&gt;=DATE(2000,1,1),$B141&lt;=DATE(2099,12,31)),FALSE()),CHOOSE(WEEKDAY($B141,2),"Monday","Tuesday","Wednesday","Thursday","Friday","Saturday","Sunday"),"")</f>
        <v/>
      </c>
      <c r="G141" s="36" t="str">
        <f aca="false">IF($J141&lt;&gt;1,"",MAX(0,INT((MIN(WinStart+83,$M141)-MAX($K141,$K141+ROUNDUP((WinStart-$K141)/$L141,0)*$L141))/$L141)+1))</f>
        <v/>
      </c>
      <c r="H141" s="37" t="str">
        <f aca="false">IF(AND($A141="",$B141="",$C141="",$D141="",$E141=""),"",IF($I141="","OK","Check details"))</f>
        <v/>
      </c>
      <c r="I141" s="38" t="str">
        <f aca="false">IF(AND($A141="",$B141="",$C141="",$D141="",$E141=""),"",TRIM(IF(TRIM($A141&amp;"")="","Label is missing. ","")&amp;IF($B141="","First visit is missing. ",IF(NOT(ISNUMBER($B141)),"First visit isn't a date (it's text). ",IF($B141&lt;&gt;INT($B141),"First visit has a time; enter a date only. ",IF(OR($B141&lt;DATE(2000,1,1),$B141&gt;DATE(2099,12,31)),"First visit must be from 2000 to 2099. ",""))))&amp;IF($C141="","Repeat every is missing. ",IF(ISNA(MATCH($C141&amp;"",{"Weekly","Every 2 weeks","Every 3 weeks","Every 4 weeks"},0)),"Repeat every must be Weekly or Every 2, 3 or 4 weeks. ",""))&amp;IF($D141="","Visit length is missing. ",IF(NOT(ISNUMBER($D141)),"Visit length must be a number of hours. ",IF($D141&lt;0,"Visit length can't be negative. ",IF($D141=0,"Visit length must be more than 0. ",IF(ABS($D141*100-ROUND($D141*100,0))&gt;0.000001,"Visit length: use up to 2 decimals. ",IF($D141&gt;24,"Visit length: 24 hours or less. ",""))))))&amp;IF($E141="","",IF(NOT(ISNUMBER($E141)),"Last visit isn't a date (it's text). ",IF($E141&lt;&gt;INT($E141),"Last visit has a time; enter a date only. ",IF(OR($E141&lt;DATE(2000,1,1),$E141&gt;DATE(2099,12,31)),"Last visit must be from 2000 to 2099. ",IF(AND(IF(ISNUMBER($B141),AND($B141=INT($B141),$B141&gt;=DATE(2000,1,1),$B141&lt;=DATE(2099,12,31)),FALSE()),$E141&lt;$B141),"Last visit is before the first visit. ","")))))))</f>
        <v/>
      </c>
      <c r="J141" s="39" t="n">
        <f aca="false">IF($H141="OK",1,0)</f>
        <v>0</v>
      </c>
      <c r="K141" s="40" t="n">
        <f aca="false">IF($J141=1,$B141,0)</f>
        <v>0</v>
      </c>
      <c r="L141" s="39" t="n">
        <f aca="false">IF($J141=1,7*MATCH($C141&amp;"",{"Weekly","Every 2 weeks","Every 3 weeks","Every 4 weeks"},0),7)</f>
        <v>7</v>
      </c>
      <c r="M141" s="40" t="n">
        <f aca="false">IF($J141=1,IF($E141="",2958465,$E141),0)</f>
        <v>0</v>
      </c>
      <c r="N141" s="39" t="n">
        <f aca="false">IF($J141=1,ROUND($D141*100,0),0)</f>
        <v>0</v>
      </c>
      <c r="O141" s="40" t="str">
        <f aca="false">IF($J141&lt;&gt;1,"",IF(AND((WeekMon+WEEKDAY($K141,2)-1)&gt;=$K141,MOD((WeekMon+WEEKDAY($K141,2)-1)-$K141,$L141)=0,(WeekMon+WEEKDAY($K141,2)-1)&lt;=$M141),(WeekMon+WEEKDAY($K141,2)-1),""))</f>
        <v/>
      </c>
      <c r="P141" s="39" t="str">
        <f aca="false">IF($O141="","",($O141-WeekMon)*1000+ROW()-11)</f>
        <v/>
      </c>
    </row>
    <row r="142" customFormat="false" ht="15" hidden="false" customHeight="false" outlineLevel="0" collapsed="false">
      <c r="A142" s="33"/>
      <c r="B142" s="34"/>
      <c r="C142" s="33"/>
      <c r="D142" s="35"/>
      <c r="E142" s="34"/>
      <c r="F142" s="36" t="str">
        <f aca="false">IF(IF(ISNUMBER($B142),AND($B142=INT($B142),$B142&gt;=DATE(2000,1,1),$B142&lt;=DATE(2099,12,31)),FALSE()),CHOOSE(WEEKDAY($B142,2),"Monday","Tuesday","Wednesday","Thursday","Friday","Saturday","Sunday"),"")</f>
        <v/>
      </c>
      <c r="G142" s="36" t="str">
        <f aca="false">IF($J142&lt;&gt;1,"",MAX(0,INT((MIN(WinStart+83,$M142)-MAX($K142,$K142+ROUNDUP((WinStart-$K142)/$L142,0)*$L142))/$L142)+1))</f>
        <v/>
      </c>
      <c r="H142" s="37" t="str">
        <f aca="false">IF(AND($A142="",$B142="",$C142="",$D142="",$E142=""),"",IF($I142="","OK","Check details"))</f>
        <v/>
      </c>
      <c r="I142" s="38" t="str">
        <f aca="false">IF(AND($A142="",$B142="",$C142="",$D142="",$E142=""),"",TRIM(IF(TRIM($A142&amp;"")="","Label is missing. ","")&amp;IF($B142="","First visit is missing. ",IF(NOT(ISNUMBER($B142)),"First visit isn't a date (it's text). ",IF($B142&lt;&gt;INT($B142),"First visit has a time; enter a date only. ",IF(OR($B142&lt;DATE(2000,1,1),$B142&gt;DATE(2099,12,31)),"First visit must be from 2000 to 2099. ",""))))&amp;IF($C142="","Repeat every is missing. ",IF(ISNA(MATCH($C142&amp;"",{"Weekly","Every 2 weeks","Every 3 weeks","Every 4 weeks"},0)),"Repeat every must be Weekly or Every 2, 3 or 4 weeks. ",""))&amp;IF($D142="","Visit length is missing. ",IF(NOT(ISNUMBER($D142)),"Visit length must be a number of hours. ",IF($D142&lt;0,"Visit length can't be negative. ",IF($D142=0,"Visit length must be more than 0. ",IF(ABS($D142*100-ROUND($D142*100,0))&gt;0.000001,"Visit length: use up to 2 decimals. ",IF($D142&gt;24,"Visit length: 24 hours or less. ",""))))))&amp;IF($E142="","",IF(NOT(ISNUMBER($E142)),"Last visit isn't a date (it's text). ",IF($E142&lt;&gt;INT($E142),"Last visit has a time; enter a date only. ",IF(OR($E142&lt;DATE(2000,1,1),$E142&gt;DATE(2099,12,31)),"Last visit must be from 2000 to 2099. ",IF(AND(IF(ISNUMBER($B142),AND($B142=INT($B142),$B142&gt;=DATE(2000,1,1),$B142&lt;=DATE(2099,12,31)),FALSE()),$E142&lt;$B142),"Last visit is before the first visit. ","")))))))</f>
        <v/>
      </c>
      <c r="J142" s="39" t="n">
        <f aca="false">IF($H142="OK",1,0)</f>
        <v>0</v>
      </c>
      <c r="K142" s="40" t="n">
        <f aca="false">IF($J142=1,$B142,0)</f>
        <v>0</v>
      </c>
      <c r="L142" s="39" t="n">
        <f aca="false">IF($J142=1,7*MATCH($C142&amp;"",{"Weekly","Every 2 weeks","Every 3 weeks","Every 4 weeks"},0),7)</f>
        <v>7</v>
      </c>
      <c r="M142" s="40" t="n">
        <f aca="false">IF($J142=1,IF($E142="",2958465,$E142),0)</f>
        <v>0</v>
      </c>
      <c r="N142" s="39" t="n">
        <f aca="false">IF($J142=1,ROUND($D142*100,0),0)</f>
        <v>0</v>
      </c>
      <c r="O142" s="40" t="str">
        <f aca="false">IF($J142&lt;&gt;1,"",IF(AND((WeekMon+WEEKDAY($K142,2)-1)&gt;=$K142,MOD((WeekMon+WEEKDAY($K142,2)-1)-$K142,$L142)=0,(WeekMon+WEEKDAY($K142,2)-1)&lt;=$M142),(WeekMon+WEEKDAY($K142,2)-1),""))</f>
        <v/>
      </c>
      <c r="P142" s="39" t="str">
        <f aca="false">IF($O142="","",($O142-WeekMon)*1000+ROW()-11)</f>
        <v/>
      </c>
    </row>
    <row r="143" customFormat="false" ht="15" hidden="false" customHeight="false" outlineLevel="0" collapsed="false">
      <c r="A143" s="33"/>
      <c r="B143" s="34"/>
      <c r="C143" s="33"/>
      <c r="D143" s="35"/>
      <c r="E143" s="34"/>
      <c r="F143" s="36" t="str">
        <f aca="false">IF(IF(ISNUMBER($B143),AND($B143=INT($B143),$B143&gt;=DATE(2000,1,1),$B143&lt;=DATE(2099,12,31)),FALSE()),CHOOSE(WEEKDAY($B143,2),"Monday","Tuesday","Wednesday","Thursday","Friday","Saturday","Sunday"),"")</f>
        <v/>
      </c>
      <c r="G143" s="36" t="str">
        <f aca="false">IF($J143&lt;&gt;1,"",MAX(0,INT((MIN(WinStart+83,$M143)-MAX($K143,$K143+ROUNDUP((WinStart-$K143)/$L143,0)*$L143))/$L143)+1))</f>
        <v/>
      </c>
      <c r="H143" s="37" t="str">
        <f aca="false">IF(AND($A143="",$B143="",$C143="",$D143="",$E143=""),"",IF($I143="","OK","Check details"))</f>
        <v/>
      </c>
      <c r="I143" s="38" t="str">
        <f aca="false">IF(AND($A143="",$B143="",$C143="",$D143="",$E143=""),"",TRIM(IF(TRIM($A143&amp;"")="","Label is missing. ","")&amp;IF($B143="","First visit is missing. ",IF(NOT(ISNUMBER($B143)),"First visit isn't a date (it's text). ",IF($B143&lt;&gt;INT($B143),"First visit has a time; enter a date only. ",IF(OR($B143&lt;DATE(2000,1,1),$B143&gt;DATE(2099,12,31)),"First visit must be from 2000 to 2099. ",""))))&amp;IF($C143="","Repeat every is missing. ",IF(ISNA(MATCH($C143&amp;"",{"Weekly","Every 2 weeks","Every 3 weeks","Every 4 weeks"},0)),"Repeat every must be Weekly or Every 2, 3 or 4 weeks. ",""))&amp;IF($D143="","Visit length is missing. ",IF(NOT(ISNUMBER($D143)),"Visit length must be a number of hours. ",IF($D143&lt;0,"Visit length can't be negative. ",IF($D143=0,"Visit length must be more than 0. ",IF(ABS($D143*100-ROUND($D143*100,0))&gt;0.000001,"Visit length: use up to 2 decimals. ",IF($D143&gt;24,"Visit length: 24 hours or less. ",""))))))&amp;IF($E143="","",IF(NOT(ISNUMBER($E143)),"Last visit isn't a date (it's text). ",IF($E143&lt;&gt;INT($E143),"Last visit has a time; enter a date only. ",IF(OR($E143&lt;DATE(2000,1,1),$E143&gt;DATE(2099,12,31)),"Last visit must be from 2000 to 2099. ",IF(AND(IF(ISNUMBER($B143),AND($B143=INT($B143),$B143&gt;=DATE(2000,1,1),$B143&lt;=DATE(2099,12,31)),FALSE()),$E143&lt;$B143),"Last visit is before the first visit. ","")))))))</f>
        <v/>
      </c>
      <c r="J143" s="39" t="n">
        <f aca="false">IF($H143="OK",1,0)</f>
        <v>0</v>
      </c>
      <c r="K143" s="40" t="n">
        <f aca="false">IF($J143=1,$B143,0)</f>
        <v>0</v>
      </c>
      <c r="L143" s="39" t="n">
        <f aca="false">IF($J143=1,7*MATCH($C143&amp;"",{"Weekly","Every 2 weeks","Every 3 weeks","Every 4 weeks"},0),7)</f>
        <v>7</v>
      </c>
      <c r="M143" s="40" t="n">
        <f aca="false">IF($J143=1,IF($E143="",2958465,$E143),0)</f>
        <v>0</v>
      </c>
      <c r="N143" s="39" t="n">
        <f aca="false">IF($J143=1,ROUND($D143*100,0),0)</f>
        <v>0</v>
      </c>
      <c r="O143" s="40" t="str">
        <f aca="false">IF($J143&lt;&gt;1,"",IF(AND((WeekMon+WEEKDAY($K143,2)-1)&gt;=$K143,MOD((WeekMon+WEEKDAY($K143,2)-1)-$K143,$L143)=0,(WeekMon+WEEKDAY($K143,2)-1)&lt;=$M143),(WeekMon+WEEKDAY($K143,2)-1),""))</f>
        <v/>
      </c>
      <c r="P143" s="39" t="str">
        <f aca="false">IF($O143="","",($O143-WeekMon)*1000+ROW()-11)</f>
        <v/>
      </c>
    </row>
    <row r="144" customFormat="false" ht="15" hidden="false" customHeight="false" outlineLevel="0" collapsed="false">
      <c r="A144" s="33"/>
      <c r="B144" s="34"/>
      <c r="C144" s="33"/>
      <c r="D144" s="35"/>
      <c r="E144" s="34"/>
      <c r="F144" s="36" t="str">
        <f aca="false">IF(IF(ISNUMBER($B144),AND($B144=INT($B144),$B144&gt;=DATE(2000,1,1),$B144&lt;=DATE(2099,12,31)),FALSE()),CHOOSE(WEEKDAY($B144,2),"Monday","Tuesday","Wednesday","Thursday","Friday","Saturday","Sunday"),"")</f>
        <v/>
      </c>
      <c r="G144" s="36" t="str">
        <f aca="false">IF($J144&lt;&gt;1,"",MAX(0,INT((MIN(WinStart+83,$M144)-MAX($K144,$K144+ROUNDUP((WinStart-$K144)/$L144,0)*$L144))/$L144)+1))</f>
        <v/>
      </c>
      <c r="H144" s="37" t="str">
        <f aca="false">IF(AND($A144="",$B144="",$C144="",$D144="",$E144=""),"",IF($I144="","OK","Check details"))</f>
        <v/>
      </c>
      <c r="I144" s="38" t="str">
        <f aca="false">IF(AND($A144="",$B144="",$C144="",$D144="",$E144=""),"",TRIM(IF(TRIM($A144&amp;"")="","Label is missing. ","")&amp;IF($B144="","First visit is missing. ",IF(NOT(ISNUMBER($B144)),"First visit isn't a date (it's text). ",IF($B144&lt;&gt;INT($B144),"First visit has a time; enter a date only. ",IF(OR($B144&lt;DATE(2000,1,1),$B144&gt;DATE(2099,12,31)),"First visit must be from 2000 to 2099. ",""))))&amp;IF($C144="","Repeat every is missing. ",IF(ISNA(MATCH($C144&amp;"",{"Weekly","Every 2 weeks","Every 3 weeks","Every 4 weeks"},0)),"Repeat every must be Weekly or Every 2, 3 or 4 weeks. ",""))&amp;IF($D144="","Visit length is missing. ",IF(NOT(ISNUMBER($D144)),"Visit length must be a number of hours. ",IF($D144&lt;0,"Visit length can't be negative. ",IF($D144=0,"Visit length must be more than 0. ",IF(ABS($D144*100-ROUND($D144*100,0))&gt;0.000001,"Visit length: use up to 2 decimals. ",IF($D144&gt;24,"Visit length: 24 hours or less. ",""))))))&amp;IF($E144="","",IF(NOT(ISNUMBER($E144)),"Last visit isn't a date (it's text). ",IF($E144&lt;&gt;INT($E144),"Last visit has a time; enter a date only. ",IF(OR($E144&lt;DATE(2000,1,1),$E144&gt;DATE(2099,12,31)),"Last visit must be from 2000 to 2099. ",IF(AND(IF(ISNUMBER($B144),AND($B144=INT($B144),$B144&gt;=DATE(2000,1,1),$B144&lt;=DATE(2099,12,31)),FALSE()),$E144&lt;$B144),"Last visit is before the first visit. ","")))))))</f>
        <v/>
      </c>
      <c r="J144" s="39" t="n">
        <f aca="false">IF($H144="OK",1,0)</f>
        <v>0</v>
      </c>
      <c r="K144" s="40" t="n">
        <f aca="false">IF($J144=1,$B144,0)</f>
        <v>0</v>
      </c>
      <c r="L144" s="39" t="n">
        <f aca="false">IF($J144=1,7*MATCH($C144&amp;"",{"Weekly","Every 2 weeks","Every 3 weeks","Every 4 weeks"},0),7)</f>
        <v>7</v>
      </c>
      <c r="M144" s="40" t="n">
        <f aca="false">IF($J144=1,IF($E144="",2958465,$E144),0)</f>
        <v>0</v>
      </c>
      <c r="N144" s="39" t="n">
        <f aca="false">IF($J144=1,ROUND($D144*100,0),0)</f>
        <v>0</v>
      </c>
      <c r="O144" s="40" t="str">
        <f aca="false">IF($J144&lt;&gt;1,"",IF(AND((WeekMon+WEEKDAY($K144,2)-1)&gt;=$K144,MOD((WeekMon+WEEKDAY($K144,2)-1)-$K144,$L144)=0,(WeekMon+WEEKDAY($K144,2)-1)&lt;=$M144),(WeekMon+WEEKDAY($K144,2)-1),""))</f>
        <v/>
      </c>
      <c r="P144" s="39" t="str">
        <f aca="false">IF($O144="","",($O144-WeekMon)*1000+ROW()-11)</f>
        <v/>
      </c>
    </row>
    <row r="145" customFormat="false" ht="15" hidden="false" customHeight="false" outlineLevel="0" collapsed="false">
      <c r="A145" s="33"/>
      <c r="B145" s="34"/>
      <c r="C145" s="33"/>
      <c r="D145" s="35"/>
      <c r="E145" s="34"/>
      <c r="F145" s="36" t="str">
        <f aca="false">IF(IF(ISNUMBER($B145),AND($B145=INT($B145),$B145&gt;=DATE(2000,1,1),$B145&lt;=DATE(2099,12,31)),FALSE()),CHOOSE(WEEKDAY($B145,2),"Monday","Tuesday","Wednesday","Thursday","Friday","Saturday","Sunday"),"")</f>
        <v/>
      </c>
      <c r="G145" s="36" t="str">
        <f aca="false">IF($J145&lt;&gt;1,"",MAX(0,INT((MIN(WinStart+83,$M145)-MAX($K145,$K145+ROUNDUP((WinStart-$K145)/$L145,0)*$L145))/$L145)+1))</f>
        <v/>
      </c>
      <c r="H145" s="37" t="str">
        <f aca="false">IF(AND($A145="",$B145="",$C145="",$D145="",$E145=""),"",IF($I145="","OK","Check details"))</f>
        <v/>
      </c>
      <c r="I145" s="38" t="str">
        <f aca="false">IF(AND($A145="",$B145="",$C145="",$D145="",$E145=""),"",TRIM(IF(TRIM($A145&amp;"")="","Label is missing. ","")&amp;IF($B145="","First visit is missing. ",IF(NOT(ISNUMBER($B145)),"First visit isn't a date (it's text). ",IF($B145&lt;&gt;INT($B145),"First visit has a time; enter a date only. ",IF(OR($B145&lt;DATE(2000,1,1),$B145&gt;DATE(2099,12,31)),"First visit must be from 2000 to 2099. ",""))))&amp;IF($C145="","Repeat every is missing. ",IF(ISNA(MATCH($C145&amp;"",{"Weekly","Every 2 weeks","Every 3 weeks","Every 4 weeks"},0)),"Repeat every must be Weekly or Every 2, 3 or 4 weeks. ",""))&amp;IF($D145="","Visit length is missing. ",IF(NOT(ISNUMBER($D145)),"Visit length must be a number of hours. ",IF($D145&lt;0,"Visit length can't be negative. ",IF($D145=0,"Visit length must be more than 0. ",IF(ABS($D145*100-ROUND($D145*100,0))&gt;0.000001,"Visit length: use up to 2 decimals. ",IF($D145&gt;24,"Visit length: 24 hours or less. ",""))))))&amp;IF($E145="","",IF(NOT(ISNUMBER($E145)),"Last visit isn't a date (it's text). ",IF($E145&lt;&gt;INT($E145),"Last visit has a time; enter a date only. ",IF(OR($E145&lt;DATE(2000,1,1),$E145&gt;DATE(2099,12,31)),"Last visit must be from 2000 to 2099. ",IF(AND(IF(ISNUMBER($B145),AND($B145=INT($B145),$B145&gt;=DATE(2000,1,1),$B145&lt;=DATE(2099,12,31)),FALSE()),$E145&lt;$B145),"Last visit is before the first visit. ","")))))))</f>
        <v/>
      </c>
      <c r="J145" s="39" t="n">
        <f aca="false">IF($H145="OK",1,0)</f>
        <v>0</v>
      </c>
      <c r="K145" s="40" t="n">
        <f aca="false">IF($J145=1,$B145,0)</f>
        <v>0</v>
      </c>
      <c r="L145" s="39" t="n">
        <f aca="false">IF($J145=1,7*MATCH($C145&amp;"",{"Weekly","Every 2 weeks","Every 3 weeks","Every 4 weeks"},0),7)</f>
        <v>7</v>
      </c>
      <c r="M145" s="40" t="n">
        <f aca="false">IF($J145=1,IF($E145="",2958465,$E145),0)</f>
        <v>0</v>
      </c>
      <c r="N145" s="39" t="n">
        <f aca="false">IF($J145=1,ROUND($D145*100,0),0)</f>
        <v>0</v>
      </c>
      <c r="O145" s="40" t="str">
        <f aca="false">IF($J145&lt;&gt;1,"",IF(AND((WeekMon+WEEKDAY($K145,2)-1)&gt;=$K145,MOD((WeekMon+WEEKDAY($K145,2)-1)-$K145,$L145)=0,(WeekMon+WEEKDAY($K145,2)-1)&lt;=$M145),(WeekMon+WEEKDAY($K145,2)-1),""))</f>
        <v/>
      </c>
      <c r="P145" s="39" t="str">
        <f aca="false">IF($O145="","",($O145-WeekMon)*1000+ROW()-11)</f>
        <v/>
      </c>
    </row>
    <row r="146" customFormat="false" ht="15" hidden="false" customHeight="false" outlineLevel="0" collapsed="false">
      <c r="A146" s="33"/>
      <c r="B146" s="34"/>
      <c r="C146" s="33"/>
      <c r="D146" s="35"/>
      <c r="E146" s="34"/>
      <c r="F146" s="36" t="str">
        <f aca="false">IF(IF(ISNUMBER($B146),AND($B146=INT($B146),$B146&gt;=DATE(2000,1,1),$B146&lt;=DATE(2099,12,31)),FALSE()),CHOOSE(WEEKDAY($B146,2),"Monday","Tuesday","Wednesday","Thursday","Friday","Saturday","Sunday"),"")</f>
        <v/>
      </c>
      <c r="G146" s="36" t="str">
        <f aca="false">IF($J146&lt;&gt;1,"",MAX(0,INT((MIN(WinStart+83,$M146)-MAX($K146,$K146+ROUNDUP((WinStart-$K146)/$L146,0)*$L146))/$L146)+1))</f>
        <v/>
      </c>
      <c r="H146" s="37" t="str">
        <f aca="false">IF(AND($A146="",$B146="",$C146="",$D146="",$E146=""),"",IF($I146="","OK","Check details"))</f>
        <v/>
      </c>
      <c r="I146" s="38" t="str">
        <f aca="false">IF(AND($A146="",$B146="",$C146="",$D146="",$E146=""),"",TRIM(IF(TRIM($A146&amp;"")="","Label is missing. ","")&amp;IF($B146="","First visit is missing. ",IF(NOT(ISNUMBER($B146)),"First visit isn't a date (it's text). ",IF($B146&lt;&gt;INT($B146),"First visit has a time; enter a date only. ",IF(OR($B146&lt;DATE(2000,1,1),$B146&gt;DATE(2099,12,31)),"First visit must be from 2000 to 2099. ",""))))&amp;IF($C146="","Repeat every is missing. ",IF(ISNA(MATCH($C146&amp;"",{"Weekly","Every 2 weeks","Every 3 weeks","Every 4 weeks"},0)),"Repeat every must be Weekly or Every 2, 3 or 4 weeks. ",""))&amp;IF($D146="","Visit length is missing. ",IF(NOT(ISNUMBER($D146)),"Visit length must be a number of hours. ",IF($D146&lt;0,"Visit length can't be negative. ",IF($D146=0,"Visit length must be more than 0. ",IF(ABS($D146*100-ROUND($D146*100,0))&gt;0.000001,"Visit length: use up to 2 decimals. ",IF($D146&gt;24,"Visit length: 24 hours or less. ",""))))))&amp;IF($E146="","",IF(NOT(ISNUMBER($E146)),"Last visit isn't a date (it's text). ",IF($E146&lt;&gt;INT($E146),"Last visit has a time; enter a date only. ",IF(OR($E146&lt;DATE(2000,1,1),$E146&gt;DATE(2099,12,31)),"Last visit must be from 2000 to 2099. ",IF(AND(IF(ISNUMBER($B146),AND($B146=INT($B146),$B146&gt;=DATE(2000,1,1),$B146&lt;=DATE(2099,12,31)),FALSE()),$E146&lt;$B146),"Last visit is before the first visit. ","")))))))</f>
        <v/>
      </c>
      <c r="J146" s="39" t="n">
        <f aca="false">IF($H146="OK",1,0)</f>
        <v>0</v>
      </c>
      <c r="K146" s="40" t="n">
        <f aca="false">IF($J146=1,$B146,0)</f>
        <v>0</v>
      </c>
      <c r="L146" s="39" t="n">
        <f aca="false">IF($J146=1,7*MATCH($C146&amp;"",{"Weekly","Every 2 weeks","Every 3 weeks","Every 4 weeks"},0),7)</f>
        <v>7</v>
      </c>
      <c r="M146" s="40" t="n">
        <f aca="false">IF($J146=1,IF($E146="",2958465,$E146),0)</f>
        <v>0</v>
      </c>
      <c r="N146" s="39" t="n">
        <f aca="false">IF($J146=1,ROUND($D146*100,0),0)</f>
        <v>0</v>
      </c>
      <c r="O146" s="40" t="str">
        <f aca="false">IF($J146&lt;&gt;1,"",IF(AND((WeekMon+WEEKDAY($K146,2)-1)&gt;=$K146,MOD((WeekMon+WEEKDAY($K146,2)-1)-$K146,$L146)=0,(WeekMon+WEEKDAY($K146,2)-1)&lt;=$M146),(WeekMon+WEEKDAY($K146,2)-1),""))</f>
        <v/>
      </c>
      <c r="P146" s="39" t="str">
        <f aca="false">IF($O146="","",($O146-WeekMon)*1000+ROW()-11)</f>
        <v/>
      </c>
    </row>
    <row r="147" customFormat="false" ht="15" hidden="false" customHeight="false" outlineLevel="0" collapsed="false">
      <c r="A147" s="33"/>
      <c r="B147" s="34"/>
      <c r="C147" s="33"/>
      <c r="D147" s="35"/>
      <c r="E147" s="34"/>
      <c r="F147" s="36" t="str">
        <f aca="false">IF(IF(ISNUMBER($B147),AND($B147=INT($B147),$B147&gt;=DATE(2000,1,1),$B147&lt;=DATE(2099,12,31)),FALSE()),CHOOSE(WEEKDAY($B147,2),"Monday","Tuesday","Wednesday","Thursday","Friday","Saturday","Sunday"),"")</f>
        <v/>
      </c>
      <c r="G147" s="36" t="str">
        <f aca="false">IF($J147&lt;&gt;1,"",MAX(0,INT((MIN(WinStart+83,$M147)-MAX($K147,$K147+ROUNDUP((WinStart-$K147)/$L147,0)*$L147))/$L147)+1))</f>
        <v/>
      </c>
      <c r="H147" s="37" t="str">
        <f aca="false">IF(AND($A147="",$B147="",$C147="",$D147="",$E147=""),"",IF($I147="","OK","Check details"))</f>
        <v/>
      </c>
      <c r="I147" s="38" t="str">
        <f aca="false">IF(AND($A147="",$B147="",$C147="",$D147="",$E147=""),"",TRIM(IF(TRIM($A147&amp;"")="","Label is missing. ","")&amp;IF($B147="","First visit is missing. ",IF(NOT(ISNUMBER($B147)),"First visit isn't a date (it's text). ",IF($B147&lt;&gt;INT($B147),"First visit has a time; enter a date only. ",IF(OR($B147&lt;DATE(2000,1,1),$B147&gt;DATE(2099,12,31)),"First visit must be from 2000 to 2099. ",""))))&amp;IF($C147="","Repeat every is missing. ",IF(ISNA(MATCH($C147&amp;"",{"Weekly","Every 2 weeks","Every 3 weeks","Every 4 weeks"},0)),"Repeat every must be Weekly or Every 2, 3 or 4 weeks. ",""))&amp;IF($D147="","Visit length is missing. ",IF(NOT(ISNUMBER($D147)),"Visit length must be a number of hours. ",IF($D147&lt;0,"Visit length can't be negative. ",IF($D147=0,"Visit length must be more than 0. ",IF(ABS($D147*100-ROUND($D147*100,0))&gt;0.000001,"Visit length: use up to 2 decimals. ",IF($D147&gt;24,"Visit length: 24 hours or less. ",""))))))&amp;IF($E147="","",IF(NOT(ISNUMBER($E147)),"Last visit isn't a date (it's text). ",IF($E147&lt;&gt;INT($E147),"Last visit has a time; enter a date only. ",IF(OR($E147&lt;DATE(2000,1,1),$E147&gt;DATE(2099,12,31)),"Last visit must be from 2000 to 2099. ",IF(AND(IF(ISNUMBER($B147),AND($B147=INT($B147),$B147&gt;=DATE(2000,1,1),$B147&lt;=DATE(2099,12,31)),FALSE()),$E147&lt;$B147),"Last visit is before the first visit. ","")))))))</f>
        <v/>
      </c>
      <c r="J147" s="39" t="n">
        <f aca="false">IF($H147="OK",1,0)</f>
        <v>0</v>
      </c>
      <c r="K147" s="40" t="n">
        <f aca="false">IF($J147=1,$B147,0)</f>
        <v>0</v>
      </c>
      <c r="L147" s="39" t="n">
        <f aca="false">IF($J147=1,7*MATCH($C147&amp;"",{"Weekly","Every 2 weeks","Every 3 weeks","Every 4 weeks"},0),7)</f>
        <v>7</v>
      </c>
      <c r="M147" s="40" t="n">
        <f aca="false">IF($J147=1,IF($E147="",2958465,$E147),0)</f>
        <v>0</v>
      </c>
      <c r="N147" s="39" t="n">
        <f aca="false">IF($J147=1,ROUND($D147*100,0),0)</f>
        <v>0</v>
      </c>
      <c r="O147" s="40" t="str">
        <f aca="false">IF($J147&lt;&gt;1,"",IF(AND((WeekMon+WEEKDAY($K147,2)-1)&gt;=$K147,MOD((WeekMon+WEEKDAY($K147,2)-1)-$K147,$L147)=0,(WeekMon+WEEKDAY($K147,2)-1)&lt;=$M147),(WeekMon+WEEKDAY($K147,2)-1),""))</f>
        <v/>
      </c>
      <c r="P147" s="39" t="str">
        <f aca="false">IF($O147="","",($O147-WeekMon)*1000+ROW()-11)</f>
        <v/>
      </c>
    </row>
    <row r="148" customFormat="false" ht="15" hidden="false" customHeight="false" outlineLevel="0" collapsed="false">
      <c r="A148" s="33"/>
      <c r="B148" s="34"/>
      <c r="C148" s="33"/>
      <c r="D148" s="35"/>
      <c r="E148" s="34"/>
      <c r="F148" s="36" t="str">
        <f aca="false">IF(IF(ISNUMBER($B148),AND($B148=INT($B148),$B148&gt;=DATE(2000,1,1),$B148&lt;=DATE(2099,12,31)),FALSE()),CHOOSE(WEEKDAY($B148,2),"Monday","Tuesday","Wednesday","Thursday","Friday","Saturday","Sunday"),"")</f>
        <v/>
      </c>
      <c r="G148" s="36" t="str">
        <f aca="false">IF($J148&lt;&gt;1,"",MAX(0,INT((MIN(WinStart+83,$M148)-MAX($K148,$K148+ROUNDUP((WinStart-$K148)/$L148,0)*$L148))/$L148)+1))</f>
        <v/>
      </c>
      <c r="H148" s="37" t="str">
        <f aca="false">IF(AND($A148="",$B148="",$C148="",$D148="",$E148=""),"",IF($I148="","OK","Check details"))</f>
        <v/>
      </c>
      <c r="I148" s="38" t="str">
        <f aca="false">IF(AND($A148="",$B148="",$C148="",$D148="",$E148=""),"",TRIM(IF(TRIM($A148&amp;"")="","Label is missing. ","")&amp;IF($B148="","First visit is missing. ",IF(NOT(ISNUMBER($B148)),"First visit isn't a date (it's text). ",IF($B148&lt;&gt;INT($B148),"First visit has a time; enter a date only. ",IF(OR($B148&lt;DATE(2000,1,1),$B148&gt;DATE(2099,12,31)),"First visit must be from 2000 to 2099. ",""))))&amp;IF($C148="","Repeat every is missing. ",IF(ISNA(MATCH($C148&amp;"",{"Weekly","Every 2 weeks","Every 3 weeks","Every 4 weeks"},0)),"Repeat every must be Weekly or Every 2, 3 or 4 weeks. ",""))&amp;IF($D148="","Visit length is missing. ",IF(NOT(ISNUMBER($D148)),"Visit length must be a number of hours. ",IF($D148&lt;0,"Visit length can't be negative. ",IF($D148=0,"Visit length must be more than 0. ",IF(ABS($D148*100-ROUND($D148*100,0))&gt;0.000001,"Visit length: use up to 2 decimals. ",IF($D148&gt;24,"Visit length: 24 hours or less. ",""))))))&amp;IF($E148="","",IF(NOT(ISNUMBER($E148)),"Last visit isn't a date (it's text). ",IF($E148&lt;&gt;INT($E148),"Last visit has a time; enter a date only. ",IF(OR($E148&lt;DATE(2000,1,1),$E148&gt;DATE(2099,12,31)),"Last visit must be from 2000 to 2099. ",IF(AND(IF(ISNUMBER($B148),AND($B148=INT($B148),$B148&gt;=DATE(2000,1,1),$B148&lt;=DATE(2099,12,31)),FALSE()),$E148&lt;$B148),"Last visit is before the first visit. ","")))))))</f>
        <v/>
      </c>
      <c r="J148" s="39" t="n">
        <f aca="false">IF($H148="OK",1,0)</f>
        <v>0</v>
      </c>
      <c r="K148" s="40" t="n">
        <f aca="false">IF($J148=1,$B148,0)</f>
        <v>0</v>
      </c>
      <c r="L148" s="39" t="n">
        <f aca="false">IF($J148=1,7*MATCH($C148&amp;"",{"Weekly","Every 2 weeks","Every 3 weeks","Every 4 weeks"},0),7)</f>
        <v>7</v>
      </c>
      <c r="M148" s="40" t="n">
        <f aca="false">IF($J148=1,IF($E148="",2958465,$E148),0)</f>
        <v>0</v>
      </c>
      <c r="N148" s="39" t="n">
        <f aca="false">IF($J148=1,ROUND($D148*100,0),0)</f>
        <v>0</v>
      </c>
      <c r="O148" s="40" t="str">
        <f aca="false">IF($J148&lt;&gt;1,"",IF(AND((WeekMon+WEEKDAY($K148,2)-1)&gt;=$K148,MOD((WeekMon+WEEKDAY($K148,2)-1)-$K148,$L148)=0,(WeekMon+WEEKDAY($K148,2)-1)&lt;=$M148),(WeekMon+WEEKDAY($K148,2)-1),""))</f>
        <v/>
      </c>
      <c r="P148" s="39" t="str">
        <f aca="false">IF($O148="","",($O148-WeekMon)*1000+ROW()-11)</f>
        <v/>
      </c>
    </row>
    <row r="149" customFormat="false" ht="15" hidden="false" customHeight="false" outlineLevel="0" collapsed="false">
      <c r="A149" s="33"/>
      <c r="B149" s="34"/>
      <c r="C149" s="33"/>
      <c r="D149" s="35"/>
      <c r="E149" s="34"/>
      <c r="F149" s="36" t="str">
        <f aca="false">IF(IF(ISNUMBER($B149),AND($B149=INT($B149),$B149&gt;=DATE(2000,1,1),$B149&lt;=DATE(2099,12,31)),FALSE()),CHOOSE(WEEKDAY($B149,2),"Monday","Tuesday","Wednesday","Thursday","Friday","Saturday","Sunday"),"")</f>
        <v/>
      </c>
      <c r="G149" s="36" t="str">
        <f aca="false">IF($J149&lt;&gt;1,"",MAX(0,INT((MIN(WinStart+83,$M149)-MAX($K149,$K149+ROUNDUP((WinStart-$K149)/$L149,0)*$L149))/$L149)+1))</f>
        <v/>
      </c>
      <c r="H149" s="37" t="str">
        <f aca="false">IF(AND($A149="",$B149="",$C149="",$D149="",$E149=""),"",IF($I149="","OK","Check details"))</f>
        <v/>
      </c>
      <c r="I149" s="38" t="str">
        <f aca="false">IF(AND($A149="",$B149="",$C149="",$D149="",$E149=""),"",TRIM(IF(TRIM($A149&amp;"")="","Label is missing. ","")&amp;IF($B149="","First visit is missing. ",IF(NOT(ISNUMBER($B149)),"First visit isn't a date (it's text). ",IF($B149&lt;&gt;INT($B149),"First visit has a time; enter a date only. ",IF(OR($B149&lt;DATE(2000,1,1),$B149&gt;DATE(2099,12,31)),"First visit must be from 2000 to 2099. ",""))))&amp;IF($C149="","Repeat every is missing. ",IF(ISNA(MATCH($C149&amp;"",{"Weekly","Every 2 weeks","Every 3 weeks","Every 4 weeks"},0)),"Repeat every must be Weekly or Every 2, 3 or 4 weeks. ",""))&amp;IF($D149="","Visit length is missing. ",IF(NOT(ISNUMBER($D149)),"Visit length must be a number of hours. ",IF($D149&lt;0,"Visit length can't be negative. ",IF($D149=0,"Visit length must be more than 0. ",IF(ABS($D149*100-ROUND($D149*100,0))&gt;0.000001,"Visit length: use up to 2 decimals. ",IF($D149&gt;24,"Visit length: 24 hours or less. ",""))))))&amp;IF($E149="","",IF(NOT(ISNUMBER($E149)),"Last visit isn't a date (it's text). ",IF($E149&lt;&gt;INT($E149),"Last visit has a time; enter a date only. ",IF(OR($E149&lt;DATE(2000,1,1),$E149&gt;DATE(2099,12,31)),"Last visit must be from 2000 to 2099. ",IF(AND(IF(ISNUMBER($B149),AND($B149=INT($B149),$B149&gt;=DATE(2000,1,1),$B149&lt;=DATE(2099,12,31)),FALSE()),$E149&lt;$B149),"Last visit is before the first visit. ","")))))))</f>
        <v/>
      </c>
      <c r="J149" s="39" t="n">
        <f aca="false">IF($H149="OK",1,0)</f>
        <v>0</v>
      </c>
      <c r="K149" s="40" t="n">
        <f aca="false">IF($J149=1,$B149,0)</f>
        <v>0</v>
      </c>
      <c r="L149" s="39" t="n">
        <f aca="false">IF($J149=1,7*MATCH($C149&amp;"",{"Weekly","Every 2 weeks","Every 3 weeks","Every 4 weeks"},0),7)</f>
        <v>7</v>
      </c>
      <c r="M149" s="40" t="n">
        <f aca="false">IF($J149=1,IF($E149="",2958465,$E149),0)</f>
        <v>0</v>
      </c>
      <c r="N149" s="39" t="n">
        <f aca="false">IF($J149=1,ROUND($D149*100,0),0)</f>
        <v>0</v>
      </c>
      <c r="O149" s="40" t="str">
        <f aca="false">IF($J149&lt;&gt;1,"",IF(AND((WeekMon+WEEKDAY($K149,2)-1)&gt;=$K149,MOD((WeekMon+WEEKDAY($K149,2)-1)-$K149,$L149)=0,(WeekMon+WEEKDAY($K149,2)-1)&lt;=$M149),(WeekMon+WEEKDAY($K149,2)-1),""))</f>
        <v/>
      </c>
      <c r="P149" s="39" t="str">
        <f aca="false">IF($O149="","",($O149-WeekMon)*1000+ROW()-11)</f>
        <v/>
      </c>
    </row>
    <row r="150" customFormat="false" ht="15" hidden="false" customHeight="false" outlineLevel="0" collapsed="false">
      <c r="A150" s="33"/>
      <c r="B150" s="34"/>
      <c r="C150" s="33"/>
      <c r="D150" s="35"/>
      <c r="E150" s="34"/>
      <c r="F150" s="36" t="str">
        <f aca="false">IF(IF(ISNUMBER($B150),AND($B150=INT($B150),$B150&gt;=DATE(2000,1,1),$B150&lt;=DATE(2099,12,31)),FALSE()),CHOOSE(WEEKDAY($B150,2),"Monday","Tuesday","Wednesday","Thursday","Friday","Saturday","Sunday"),"")</f>
        <v/>
      </c>
      <c r="G150" s="36" t="str">
        <f aca="false">IF($J150&lt;&gt;1,"",MAX(0,INT((MIN(WinStart+83,$M150)-MAX($K150,$K150+ROUNDUP((WinStart-$K150)/$L150,0)*$L150))/$L150)+1))</f>
        <v/>
      </c>
      <c r="H150" s="37" t="str">
        <f aca="false">IF(AND($A150="",$B150="",$C150="",$D150="",$E150=""),"",IF($I150="","OK","Check details"))</f>
        <v/>
      </c>
      <c r="I150" s="38" t="str">
        <f aca="false">IF(AND($A150="",$B150="",$C150="",$D150="",$E150=""),"",TRIM(IF(TRIM($A150&amp;"")="","Label is missing. ","")&amp;IF($B150="","First visit is missing. ",IF(NOT(ISNUMBER($B150)),"First visit isn't a date (it's text). ",IF($B150&lt;&gt;INT($B150),"First visit has a time; enter a date only. ",IF(OR($B150&lt;DATE(2000,1,1),$B150&gt;DATE(2099,12,31)),"First visit must be from 2000 to 2099. ",""))))&amp;IF($C150="","Repeat every is missing. ",IF(ISNA(MATCH($C150&amp;"",{"Weekly","Every 2 weeks","Every 3 weeks","Every 4 weeks"},0)),"Repeat every must be Weekly or Every 2, 3 or 4 weeks. ",""))&amp;IF($D150="","Visit length is missing. ",IF(NOT(ISNUMBER($D150)),"Visit length must be a number of hours. ",IF($D150&lt;0,"Visit length can't be negative. ",IF($D150=0,"Visit length must be more than 0. ",IF(ABS($D150*100-ROUND($D150*100,0))&gt;0.000001,"Visit length: use up to 2 decimals. ",IF($D150&gt;24,"Visit length: 24 hours or less. ",""))))))&amp;IF($E150="","",IF(NOT(ISNUMBER($E150)),"Last visit isn't a date (it's text). ",IF($E150&lt;&gt;INT($E150),"Last visit has a time; enter a date only. ",IF(OR($E150&lt;DATE(2000,1,1),$E150&gt;DATE(2099,12,31)),"Last visit must be from 2000 to 2099. ",IF(AND(IF(ISNUMBER($B150),AND($B150=INT($B150),$B150&gt;=DATE(2000,1,1),$B150&lt;=DATE(2099,12,31)),FALSE()),$E150&lt;$B150),"Last visit is before the first visit. ","")))))))</f>
        <v/>
      </c>
      <c r="J150" s="39" t="n">
        <f aca="false">IF($H150="OK",1,0)</f>
        <v>0</v>
      </c>
      <c r="K150" s="40" t="n">
        <f aca="false">IF($J150=1,$B150,0)</f>
        <v>0</v>
      </c>
      <c r="L150" s="39" t="n">
        <f aca="false">IF($J150=1,7*MATCH($C150&amp;"",{"Weekly","Every 2 weeks","Every 3 weeks","Every 4 weeks"},0),7)</f>
        <v>7</v>
      </c>
      <c r="M150" s="40" t="n">
        <f aca="false">IF($J150=1,IF($E150="",2958465,$E150),0)</f>
        <v>0</v>
      </c>
      <c r="N150" s="39" t="n">
        <f aca="false">IF($J150=1,ROUND($D150*100,0),0)</f>
        <v>0</v>
      </c>
      <c r="O150" s="40" t="str">
        <f aca="false">IF($J150&lt;&gt;1,"",IF(AND((WeekMon+WEEKDAY($K150,2)-1)&gt;=$K150,MOD((WeekMon+WEEKDAY($K150,2)-1)-$K150,$L150)=0,(WeekMon+WEEKDAY($K150,2)-1)&lt;=$M150),(WeekMon+WEEKDAY($K150,2)-1),""))</f>
        <v/>
      </c>
      <c r="P150" s="39" t="str">
        <f aca="false">IF($O150="","",($O150-WeekMon)*1000+ROW()-11)</f>
        <v/>
      </c>
    </row>
    <row r="151" customFormat="false" ht="15" hidden="false" customHeight="false" outlineLevel="0" collapsed="false">
      <c r="A151" s="33"/>
      <c r="B151" s="34"/>
      <c r="C151" s="33"/>
      <c r="D151" s="35"/>
      <c r="E151" s="34"/>
      <c r="F151" s="36" t="str">
        <f aca="false">IF(IF(ISNUMBER($B151),AND($B151=INT($B151),$B151&gt;=DATE(2000,1,1),$B151&lt;=DATE(2099,12,31)),FALSE()),CHOOSE(WEEKDAY($B151,2),"Monday","Tuesday","Wednesday","Thursday","Friday","Saturday","Sunday"),"")</f>
        <v/>
      </c>
      <c r="G151" s="36" t="str">
        <f aca="false">IF($J151&lt;&gt;1,"",MAX(0,INT((MIN(WinStart+83,$M151)-MAX($K151,$K151+ROUNDUP((WinStart-$K151)/$L151,0)*$L151))/$L151)+1))</f>
        <v/>
      </c>
      <c r="H151" s="37" t="str">
        <f aca="false">IF(AND($A151="",$B151="",$C151="",$D151="",$E151=""),"",IF($I151="","OK","Check details"))</f>
        <v/>
      </c>
      <c r="I151" s="38" t="str">
        <f aca="false">IF(AND($A151="",$B151="",$C151="",$D151="",$E151=""),"",TRIM(IF(TRIM($A151&amp;"")="","Label is missing. ","")&amp;IF($B151="","First visit is missing. ",IF(NOT(ISNUMBER($B151)),"First visit isn't a date (it's text). ",IF($B151&lt;&gt;INT($B151),"First visit has a time; enter a date only. ",IF(OR($B151&lt;DATE(2000,1,1),$B151&gt;DATE(2099,12,31)),"First visit must be from 2000 to 2099. ",""))))&amp;IF($C151="","Repeat every is missing. ",IF(ISNA(MATCH($C151&amp;"",{"Weekly","Every 2 weeks","Every 3 weeks","Every 4 weeks"},0)),"Repeat every must be Weekly or Every 2, 3 or 4 weeks. ",""))&amp;IF($D151="","Visit length is missing. ",IF(NOT(ISNUMBER($D151)),"Visit length must be a number of hours. ",IF($D151&lt;0,"Visit length can't be negative. ",IF($D151=0,"Visit length must be more than 0. ",IF(ABS($D151*100-ROUND($D151*100,0))&gt;0.000001,"Visit length: use up to 2 decimals. ",IF($D151&gt;24,"Visit length: 24 hours or less. ",""))))))&amp;IF($E151="","",IF(NOT(ISNUMBER($E151)),"Last visit isn't a date (it's text). ",IF($E151&lt;&gt;INT($E151),"Last visit has a time; enter a date only. ",IF(OR($E151&lt;DATE(2000,1,1),$E151&gt;DATE(2099,12,31)),"Last visit must be from 2000 to 2099. ",IF(AND(IF(ISNUMBER($B151),AND($B151=INT($B151),$B151&gt;=DATE(2000,1,1),$B151&lt;=DATE(2099,12,31)),FALSE()),$E151&lt;$B151),"Last visit is before the first visit. ","")))))))</f>
        <v/>
      </c>
      <c r="J151" s="39" t="n">
        <f aca="false">IF($H151="OK",1,0)</f>
        <v>0</v>
      </c>
      <c r="K151" s="40" t="n">
        <f aca="false">IF($J151=1,$B151,0)</f>
        <v>0</v>
      </c>
      <c r="L151" s="39" t="n">
        <f aca="false">IF($J151=1,7*MATCH($C151&amp;"",{"Weekly","Every 2 weeks","Every 3 weeks","Every 4 weeks"},0),7)</f>
        <v>7</v>
      </c>
      <c r="M151" s="40" t="n">
        <f aca="false">IF($J151=1,IF($E151="",2958465,$E151),0)</f>
        <v>0</v>
      </c>
      <c r="N151" s="39" t="n">
        <f aca="false">IF($J151=1,ROUND($D151*100,0),0)</f>
        <v>0</v>
      </c>
      <c r="O151" s="40" t="str">
        <f aca="false">IF($J151&lt;&gt;1,"",IF(AND((WeekMon+WEEKDAY($K151,2)-1)&gt;=$K151,MOD((WeekMon+WEEKDAY($K151,2)-1)-$K151,$L151)=0,(WeekMon+WEEKDAY($K151,2)-1)&lt;=$M151),(WeekMon+WEEKDAY($K151,2)-1),""))</f>
        <v/>
      </c>
      <c r="P151" s="39" t="str">
        <f aca="false">IF($O151="","",($O151-WeekMon)*1000+ROW()-11)</f>
        <v/>
      </c>
    </row>
    <row r="152" customFormat="false" ht="15" hidden="false" customHeight="false" outlineLevel="0" collapsed="false">
      <c r="A152" s="33"/>
      <c r="B152" s="34"/>
      <c r="C152" s="33"/>
      <c r="D152" s="35"/>
      <c r="E152" s="34"/>
      <c r="F152" s="36" t="str">
        <f aca="false">IF(IF(ISNUMBER($B152),AND($B152=INT($B152),$B152&gt;=DATE(2000,1,1),$B152&lt;=DATE(2099,12,31)),FALSE()),CHOOSE(WEEKDAY($B152,2),"Monday","Tuesday","Wednesday","Thursday","Friday","Saturday","Sunday"),"")</f>
        <v/>
      </c>
      <c r="G152" s="36" t="str">
        <f aca="false">IF($J152&lt;&gt;1,"",MAX(0,INT((MIN(WinStart+83,$M152)-MAX($K152,$K152+ROUNDUP((WinStart-$K152)/$L152,0)*$L152))/$L152)+1))</f>
        <v/>
      </c>
      <c r="H152" s="37" t="str">
        <f aca="false">IF(AND($A152="",$B152="",$C152="",$D152="",$E152=""),"",IF($I152="","OK","Check details"))</f>
        <v/>
      </c>
      <c r="I152" s="38" t="str">
        <f aca="false">IF(AND($A152="",$B152="",$C152="",$D152="",$E152=""),"",TRIM(IF(TRIM($A152&amp;"")="","Label is missing. ","")&amp;IF($B152="","First visit is missing. ",IF(NOT(ISNUMBER($B152)),"First visit isn't a date (it's text). ",IF($B152&lt;&gt;INT($B152),"First visit has a time; enter a date only. ",IF(OR($B152&lt;DATE(2000,1,1),$B152&gt;DATE(2099,12,31)),"First visit must be from 2000 to 2099. ",""))))&amp;IF($C152="","Repeat every is missing. ",IF(ISNA(MATCH($C152&amp;"",{"Weekly","Every 2 weeks","Every 3 weeks","Every 4 weeks"},0)),"Repeat every must be Weekly or Every 2, 3 or 4 weeks. ",""))&amp;IF($D152="","Visit length is missing. ",IF(NOT(ISNUMBER($D152)),"Visit length must be a number of hours. ",IF($D152&lt;0,"Visit length can't be negative. ",IF($D152=0,"Visit length must be more than 0. ",IF(ABS($D152*100-ROUND($D152*100,0))&gt;0.000001,"Visit length: use up to 2 decimals. ",IF($D152&gt;24,"Visit length: 24 hours or less. ",""))))))&amp;IF($E152="","",IF(NOT(ISNUMBER($E152)),"Last visit isn't a date (it's text). ",IF($E152&lt;&gt;INT($E152),"Last visit has a time; enter a date only. ",IF(OR($E152&lt;DATE(2000,1,1),$E152&gt;DATE(2099,12,31)),"Last visit must be from 2000 to 2099. ",IF(AND(IF(ISNUMBER($B152),AND($B152=INT($B152),$B152&gt;=DATE(2000,1,1),$B152&lt;=DATE(2099,12,31)),FALSE()),$E152&lt;$B152),"Last visit is before the first visit. ","")))))))</f>
        <v/>
      </c>
      <c r="J152" s="39" t="n">
        <f aca="false">IF($H152="OK",1,0)</f>
        <v>0</v>
      </c>
      <c r="K152" s="40" t="n">
        <f aca="false">IF($J152=1,$B152,0)</f>
        <v>0</v>
      </c>
      <c r="L152" s="39" t="n">
        <f aca="false">IF($J152=1,7*MATCH($C152&amp;"",{"Weekly","Every 2 weeks","Every 3 weeks","Every 4 weeks"},0),7)</f>
        <v>7</v>
      </c>
      <c r="M152" s="40" t="n">
        <f aca="false">IF($J152=1,IF($E152="",2958465,$E152),0)</f>
        <v>0</v>
      </c>
      <c r="N152" s="39" t="n">
        <f aca="false">IF($J152=1,ROUND($D152*100,0),0)</f>
        <v>0</v>
      </c>
      <c r="O152" s="40" t="str">
        <f aca="false">IF($J152&lt;&gt;1,"",IF(AND((WeekMon+WEEKDAY($K152,2)-1)&gt;=$K152,MOD((WeekMon+WEEKDAY($K152,2)-1)-$K152,$L152)=0,(WeekMon+WEEKDAY($K152,2)-1)&lt;=$M152),(WeekMon+WEEKDAY($K152,2)-1),""))</f>
        <v/>
      </c>
      <c r="P152" s="39" t="str">
        <f aca="false">IF($O152="","",($O152-WeekMon)*1000+ROW()-11)</f>
        <v/>
      </c>
    </row>
    <row r="153" customFormat="false" ht="15" hidden="false" customHeight="false" outlineLevel="0" collapsed="false">
      <c r="A153" s="33"/>
      <c r="B153" s="34"/>
      <c r="C153" s="33"/>
      <c r="D153" s="35"/>
      <c r="E153" s="34"/>
      <c r="F153" s="36" t="str">
        <f aca="false">IF(IF(ISNUMBER($B153),AND($B153=INT($B153),$B153&gt;=DATE(2000,1,1),$B153&lt;=DATE(2099,12,31)),FALSE()),CHOOSE(WEEKDAY($B153,2),"Monday","Tuesday","Wednesday","Thursday","Friday","Saturday","Sunday"),"")</f>
        <v/>
      </c>
      <c r="G153" s="36" t="str">
        <f aca="false">IF($J153&lt;&gt;1,"",MAX(0,INT((MIN(WinStart+83,$M153)-MAX($K153,$K153+ROUNDUP((WinStart-$K153)/$L153,0)*$L153))/$L153)+1))</f>
        <v/>
      </c>
      <c r="H153" s="37" t="str">
        <f aca="false">IF(AND($A153="",$B153="",$C153="",$D153="",$E153=""),"",IF($I153="","OK","Check details"))</f>
        <v/>
      </c>
      <c r="I153" s="38" t="str">
        <f aca="false">IF(AND($A153="",$B153="",$C153="",$D153="",$E153=""),"",TRIM(IF(TRIM($A153&amp;"")="","Label is missing. ","")&amp;IF($B153="","First visit is missing. ",IF(NOT(ISNUMBER($B153)),"First visit isn't a date (it's text). ",IF($B153&lt;&gt;INT($B153),"First visit has a time; enter a date only. ",IF(OR($B153&lt;DATE(2000,1,1),$B153&gt;DATE(2099,12,31)),"First visit must be from 2000 to 2099. ",""))))&amp;IF($C153="","Repeat every is missing. ",IF(ISNA(MATCH($C153&amp;"",{"Weekly","Every 2 weeks","Every 3 weeks","Every 4 weeks"},0)),"Repeat every must be Weekly or Every 2, 3 or 4 weeks. ",""))&amp;IF($D153="","Visit length is missing. ",IF(NOT(ISNUMBER($D153)),"Visit length must be a number of hours. ",IF($D153&lt;0,"Visit length can't be negative. ",IF($D153=0,"Visit length must be more than 0. ",IF(ABS($D153*100-ROUND($D153*100,0))&gt;0.000001,"Visit length: use up to 2 decimals. ",IF($D153&gt;24,"Visit length: 24 hours or less. ",""))))))&amp;IF($E153="","",IF(NOT(ISNUMBER($E153)),"Last visit isn't a date (it's text). ",IF($E153&lt;&gt;INT($E153),"Last visit has a time; enter a date only. ",IF(OR($E153&lt;DATE(2000,1,1),$E153&gt;DATE(2099,12,31)),"Last visit must be from 2000 to 2099. ",IF(AND(IF(ISNUMBER($B153),AND($B153=INT($B153),$B153&gt;=DATE(2000,1,1),$B153&lt;=DATE(2099,12,31)),FALSE()),$E153&lt;$B153),"Last visit is before the first visit. ","")))))))</f>
        <v/>
      </c>
      <c r="J153" s="39" t="n">
        <f aca="false">IF($H153="OK",1,0)</f>
        <v>0</v>
      </c>
      <c r="K153" s="40" t="n">
        <f aca="false">IF($J153=1,$B153,0)</f>
        <v>0</v>
      </c>
      <c r="L153" s="39" t="n">
        <f aca="false">IF($J153=1,7*MATCH($C153&amp;"",{"Weekly","Every 2 weeks","Every 3 weeks","Every 4 weeks"},0),7)</f>
        <v>7</v>
      </c>
      <c r="M153" s="40" t="n">
        <f aca="false">IF($J153=1,IF($E153="",2958465,$E153),0)</f>
        <v>0</v>
      </c>
      <c r="N153" s="39" t="n">
        <f aca="false">IF($J153=1,ROUND($D153*100,0),0)</f>
        <v>0</v>
      </c>
      <c r="O153" s="40" t="str">
        <f aca="false">IF($J153&lt;&gt;1,"",IF(AND((WeekMon+WEEKDAY($K153,2)-1)&gt;=$K153,MOD((WeekMon+WEEKDAY($K153,2)-1)-$K153,$L153)=0,(WeekMon+WEEKDAY($K153,2)-1)&lt;=$M153),(WeekMon+WEEKDAY($K153,2)-1),""))</f>
        <v/>
      </c>
      <c r="P153" s="39" t="str">
        <f aca="false">IF($O153="","",($O153-WeekMon)*1000+ROW()-11)</f>
        <v/>
      </c>
    </row>
    <row r="154" customFormat="false" ht="15" hidden="false" customHeight="false" outlineLevel="0" collapsed="false">
      <c r="A154" s="33"/>
      <c r="B154" s="34"/>
      <c r="C154" s="33"/>
      <c r="D154" s="35"/>
      <c r="E154" s="34"/>
      <c r="F154" s="36" t="str">
        <f aca="false">IF(IF(ISNUMBER($B154),AND($B154=INT($B154),$B154&gt;=DATE(2000,1,1),$B154&lt;=DATE(2099,12,31)),FALSE()),CHOOSE(WEEKDAY($B154,2),"Monday","Tuesday","Wednesday","Thursday","Friday","Saturday","Sunday"),"")</f>
        <v/>
      </c>
      <c r="G154" s="36" t="str">
        <f aca="false">IF($J154&lt;&gt;1,"",MAX(0,INT((MIN(WinStart+83,$M154)-MAX($K154,$K154+ROUNDUP((WinStart-$K154)/$L154,0)*$L154))/$L154)+1))</f>
        <v/>
      </c>
      <c r="H154" s="37" t="str">
        <f aca="false">IF(AND($A154="",$B154="",$C154="",$D154="",$E154=""),"",IF($I154="","OK","Check details"))</f>
        <v/>
      </c>
      <c r="I154" s="38" t="str">
        <f aca="false">IF(AND($A154="",$B154="",$C154="",$D154="",$E154=""),"",TRIM(IF(TRIM($A154&amp;"")="","Label is missing. ","")&amp;IF($B154="","First visit is missing. ",IF(NOT(ISNUMBER($B154)),"First visit isn't a date (it's text). ",IF($B154&lt;&gt;INT($B154),"First visit has a time; enter a date only. ",IF(OR($B154&lt;DATE(2000,1,1),$B154&gt;DATE(2099,12,31)),"First visit must be from 2000 to 2099. ",""))))&amp;IF($C154="","Repeat every is missing. ",IF(ISNA(MATCH($C154&amp;"",{"Weekly","Every 2 weeks","Every 3 weeks","Every 4 weeks"},0)),"Repeat every must be Weekly or Every 2, 3 or 4 weeks. ",""))&amp;IF($D154="","Visit length is missing. ",IF(NOT(ISNUMBER($D154)),"Visit length must be a number of hours. ",IF($D154&lt;0,"Visit length can't be negative. ",IF($D154=0,"Visit length must be more than 0. ",IF(ABS($D154*100-ROUND($D154*100,0))&gt;0.000001,"Visit length: use up to 2 decimals. ",IF($D154&gt;24,"Visit length: 24 hours or less. ",""))))))&amp;IF($E154="","",IF(NOT(ISNUMBER($E154)),"Last visit isn't a date (it's text). ",IF($E154&lt;&gt;INT($E154),"Last visit has a time; enter a date only. ",IF(OR($E154&lt;DATE(2000,1,1),$E154&gt;DATE(2099,12,31)),"Last visit must be from 2000 to 2099. ",IF(AND(IF(ISNUMBER($B154),AND($B154=INT($B154),$B154&gt;=DATE(2000,1,1),$B154&lt;=DATE(2099,12,31)),FALSE()),$E154&lt;$B154),"Last visit is before the first visit. ","")))))))</f>
        <v/>
      </c>
      <c r="J154" s="39" t="n">
        <f aca="false">IF($H154="OK",1,0)</f>
        <v>0</v>
      </c>
      <c r="K154" s="40" t="n">
        <f aca="false">IF($J154=1,$B154,0)</f>
        <v>0</v>
      </c>
      <c r="L154" s="39" t="n">
        <f aca="false">IF($J154=1,7*MATCH($C154&amp;"",{"Weekly","Every 2 weeks","Every 3 weeks","Every 4 weeks"},0),7)</f>
        <v>7</v>
      </c>
      <c r="M154" s="40" t="n">
        <f aca="false">IF($J154=1,IF($E154="",2958465,$E154),0)</f>
        <v>0</v>
      </c>
      <c r="N154" s="39" t="n">
        <f aca="false">IF($J154=1,ROUND($D154*100,0),0)</f>
        <v>0</v>
      </c>
      <c r="O154" s="40" t="str">
        <f aca="false">IF($J154&lt;&gt;1,"",IF(AND((WeekMon+WEEKDAY($K154,2)-1)&gt;=$K154,MOD((WeekMon+WEEKDAY($K154,2)-1)-$K154,$L154)=0,(WeekMon+WEEKDAY($K154,2)-1)&lt;=$M154),(WeekMon+WEEKDAY($K154,2)-1),""))</f>
        <v/>
      </c>
      <c r="P154" s="39" t="str">
        <f aca="false">IF($O154="","",($O154-WeekMon)*1000+ROW()-11)</f>
        <v/>
      </c>
    </row>
    <row r="155" customFormat="false" ht="15" hidden="false" customHeight="false" outlineLevel="0" collapsed="false">
      <c r="A155" s="33"/>
      <c r="B155" s="34"/>
      <c r="C155" s="33"/>
      <c r="D155" s="35"/>
      <c r="E155" s="34"/>
      <c r="F155" s="36" t="str">
        <f aca="false">IF(IF(ISNUMBER($B155),AND($B155=INT($B155),$B155&gt;=DATE(2000,1,1),$B155&lt;=DATE(2099,12,31)),FALSE()),CHOOSE(WEEKDAY($B155,2),"Monday","Tuesday","Wednesday","Thursday","Friday","Saturday","Sunday"),"")</f>
        <v/>
      </c>
      <c r="G155" s="36" t="str">
        <f aca="false">IF($J155&lt;&gt;1,"",MAX(0,INT((MIN(WinStart+83,$M155)-MAX($K155,$K155+ROUNDUP((WinStart-$K155)/$L155,0)*$L155))/$L155)+1))</f>
        <v/>
      </c>
      <c r="H155" s="37" t="str">
        <f aca="false">IF(AND($A155="",$B155="",$C155="",$D155="",$E155=""),"",IF($I155="","OK","Check details"))</f>
        <v/>
      </c>
      <c r="I155" s="38" t="str">
        <f aca="false">IF(AND($A155="",$B155="",$C155="",$D155="",$E155=""),"",TRIM(IF(TRIM($A155&amp;"")="","Label is missing. ","")&amp;IF($B155="","First visit is missing. ",IF(NOT(ISNUMBER($B155)),"First visit isn't a date (it's text). ",IF($B155&lt;&gt;INT($B155),"First visit has a time; enter a date only. ",IF(OR($B155&lt;DATE(2000,1,1),$B155&gt;DATE(2099,12,31)),"First visit must be from 2000 to 2099. ",""))))&amp;IF($C155="","Repeat every is missing. ",IF(ISNA(MATCH($C155&amp;"",{"Weekly","Every 2 weeks","Every 3 weeks","Every 4 weeks"},0)),"Repeat every must be Weekly or Every 2, 3 or 4 weeks. ",""))&amp;IF($D155="","Visit length is missing. ",IF(NOT(ISNUMBER($D155)),"Visit length must be a number of hours. ",IF($D155&lt;0,"Visit length can't be negative. ",IF($D155=0,"Visit length must be more than 0. ",IF(ABS($D155*100-ROUND($D155*100,0))&gt;0.000001,"Visit length: use up to 2 decimals. ",IF($D155&gt;24,"Visit length: 24 hours or less. ",""))))))&amp;IF($E155="","",IF(NOT(ISNUMBER($E155)),"Last visit isn't a date (it's text). ",IF($E155&lt;&gt;INT($E155),"Last visit has a time; enter a date only. ",IF(OR($E155&lt;DATE(2000,1,1),$E155&gt;DATE(2099,12,31)),"Last visit must be from 2000 to 2099. ",IF(AND(IF(ISNUMBER($B155),AND($B155=INT($B155),$B155&gt;=DATE(2000,1,1),$B155&lt;=DATE(2099,12,31)),FALSE()),$E155&lt;$B155),"Last visit is before the first visit. ","")))))))</f>
        <v/>
      </c>
      <c r="J155" s="39" t="n">
        <f aca="false">IF($H155="OK",1,0)</f>
        <v>0</v>
      </c>
      <c r="K155" s="40" t="n">
        <f aca="false">IF($J155=1,$B155,0)</f>
        <v>0</v>
      </c>
      <c r="L155" s="39" t="n">
        <f aca="false">IF($J155=1,7*MATCH($C155&amp;"",{"Weekly","Every 2 weeks","Every 3 weeks","Every 4 weeks"},0),7)</f>
        <v>7</v>
      </c>
      <c r="M155" s="40" t="n">
        <f aca="false">IF($J155=1,IF($E155="",2958465,$E155),0)</f>
        <v>0</v>
      </c>
      <c r="N155" s="39" t="n">
        <f aca="false">IF($J155=1,ROUND($D155*100,0),0)</f>
        <v>0</v>
      </c>
      <c r="O155" s="40" t="str">
        <f aca="false">IF($J155&lt;&gt;1,"",IF(AND((WeekMon+WEEKDAY($K155,2)-1)&gt;=$K155,MOD((WeekMon+WEEKDAY($K155,2)-1)-$K155,$L155)=0,(WeekMon+WEEKDAY($K155,2)-1)&lt;=$M155),(WeekMon+WEEKDAY($K155,2)-1),""))</f>
        <v/>
      </c>
      <c r="P155" s="39" t="str">
        <f aca="false">IF($O155="","",($O155-WeekMon)*1000+ROW()-11)</f>
        <v/>
      </c>
    </row>
    <row r="156" customFormat="false" ht="15" hidden="false" customHeight="false" outlineLevel="0" collapsed="false">
      <c r="A156" s="33"/>
      <c r="B156" s="34"/>
      <c r="C156" s="33"/>
      <c r="D156" s="35"/>
      <c r="E156" s="34"/>
      <c r="F156" s="36" t="str">
        <f aca="false">IF(IF(ISNUMBER($B156),AND($B156=INT($B156),$B156&gt;=DATE(2000,1,1),$B156&lt;=DATE(2099,12,31)),FALSE()),CHOOSE(WEEKDAY($B156,2),"Monday","Tuesday","Wednesday","Thursday","Friday","Saturday","Sunday"),"")</f>
        <v/>
      </c>
      <c r="G156" s="36" t="str">
        <f aca="false">IF($J156&lt;&gt;1,"",MAX(0,INT((MIN(WinStart+83,$M156)-MAX($K156,$K156+ROUNDUP((WinStart-$K156)/$L156,0)*$L156))/$L156)+1))</f>
        <v/>
      </c>
      <c r="H156" s="37" t="str">
        <f aca="false">IF(AND($A156="",$B156="",$C156="",$D156="",$E156=""),"",IF($I156="","OK","Check details"))</f>
        <v/>
      </c>
      <c r="I156" s="38" t="str">
        <f aca="false">IF(AND($A156="",$B156="",$C156="",$D156="",$E156=""),"",TRIM(IF(TRIM($A156&amp;"")="","Label is missing. ","")&amp;IF($B156="","First visit is missing. ",IF(NOT(ISNUMBER($B156)),"First visit isn't a date (it's text). ",IF($B156&lt;&gt;INT($B156),"First visit has a time; enter a date only. ",IF(OR($B156&lt;DATE(2000,1,1),$B156&gt;DATE(2099,12,31)),"First visit must be from 2000 to 2099. ",""))))&amp;IF($C156="","Repeat every is missing. ",IF(ISNA(MATCH($C156&amp;"",{"Weekly","Every 2 weeks","Every 3 weeks","Every 4 weeks"},0)),"Repeat every must be Weekly or Every 2, 3 or 4 weeks. ",""))&amp;IF($D156="","Visit length is missing. ",IF(NOT(ISNUMBER($D156)),"Visit length must be a number of hours. ",IF($D156&lt;0,"Visit length can't be negative. ",IF($D156=0,"Visit length must be more than 0. ",IF(ABS($D156*100-ROUND($D156*100,0))&gt;0.000001,"Visit length: use up to 2 decimals. ",IF($D156&gt;24,"Visit length: 24 hours or less. ",""))))))&amp;IF($E156="","",IF(NOT(ISNUMBER($E156)),"Last visit isn't a date (it's text). ",IF($E156&lt;&gt;INT($E156),"Last visit has a time; enter a date only. ",IF(OR($E156&lt;DATE(2000,1,1),$E156&gt;DATE(2099,12,31)),"Last visit must be from 2000 to 2099. ",IF(AND(IF(ISNUMBER($B156),AND($B156=INT($B156),$B156&gt;=DATE(2000,1,1),$B156&lt;=DATE(2099,12,31)),FALSE()),$E156&lt;$B156),"Last visit is before the first visit. ","")))))))</f>
        <v/>
      </c>
      <c r="J156" s="39" t="n">
        <f aca="false">IF($H156="OK",1,0)</f>
        <v>0</v>
      </c>
      <c r="K156" s="40" t="n">
        <f aca="false">IF($J156=1,$B156,0)</f>
        <v>0</v>
      </c>
      <c r="L156" s="39" t="n">
        <f aca="false">IF($J156=1,7*MATCH($C156&amp;"",{"Weekly","Every 2 weeks","Every 3 weeks","Every 4 weeks"},0),7)</f>
        <v>7</v>
      </c>
      <c r="M156" s="40" t="n">
        <f aca="false">IF($J156=1,IF($E156="",2958465,$E156),0)</f>
        <v>0</v>
      </c>
      <c r="N156" s="39" t="n">
        <f aca="false">IF($J156=1,ROUND($D156*100,0),0)</f>
        <v>0</v>
      </c>
      <c r="O156" s="40" t="str">
        <f aca="false">IF($J156&lt;&gt;1,"",IF(AND((WeekMon+WEEKDAY($K156,2)-1)&gt;=$K156,MOD((WeekMon+WEEKDAY($K156,2)-1)-$K156,$L156)=0,(WeekMon+WEEKDAY($K156,2)-1)&lt;=$M156),(WeekMon+WEEKDAY($K156,2)-1),""))</f>
        <v/>
      </c>
      <c r="P156" s="39" t="str">
        <f aca="false">IF($O156="","",($O156-WeekMon)*1000+ROW()-11)</f>
        <v/>
      </c>
    </row>
    <row r="157" customFormat="false" ht="15" hidden="false" customHeight="false" outlineLevel="0" collapsed="false">
      <c r="A157" s="33"/>
      <c r="B157" s="34"/>
      <c r="C157" s="33"/>
      <c r="D157" s="35"/>
      <c r="E157" s="34"/>
      <c r="F157" s="36" t="str">
        <f aca="false">IF(IF(ISNUMBER($B157),AND($B157=INT($B157),$B157&gt;=DATE(2000,1,1),$B157&lt;=DATE(2099,12,31)),FALSE()),CHOOSE(WEEKDAY($B157,2),"Monday","Tuesday","Wednesday","Thursday","Friday","Saturday","Sunday"),"")</f>
        <v/>
      </c>
      <c r="G157" s="36" t="str">
        <f aca="false">IF($J157&lt;&gt;1,"",MAX(0,INT((MIN(WinStart+83,$M157)-MAX($K157,$K157+ROUNDUP((WinStart-$K157)/$L157,0)*$L157))/$L157)+1))</f>
        <v/>
      </c>
      <c r="H157" s="37" t="str">
        <f aca="false">IF(AND($A157="",$B157="",$C157="",$D157="",$E157=""),"",IF($I157="","OK","Check details"))</f>
        <v/>
      </c>
      <c r="I157" s="38" t="str">
        <f aca="false">IF(AND($A157="",$B157="",$C157="",$D157="",$E157=""),"",TRIM(IF(TRIM($A157&amp;"")="","Label is missing. ","")&amp;IF($B157="","First visit is missing. ",IF(NOT(ISNUMBER($B157)),"First visit isn't a date (it's text). ",IF($B157&lt;&gt;INT($B157),"First visit has a time; enter a date only. ",IF(OR($B157&lt;DATE(2000,1,1),$B157&gt;DATE(2099,12,31)),"First visit must be from 2000 to 2099. ",""))))&amp;IF($C157="","Repeat every is missing. ",IF(ISNA(MATCH($C157&amp;"",{"Weekly","Every 2 weeks","Every 3 weeks","Every 4 weeks"},0)),"Repeat every must be Weekly or Every 2, 3 or 4 weeks. ",""))&amp;IF($D157="","Visit length is missing. ",IF(NOT(ISNUMBER($D157)),"Visit length must be a number of hours. ",IF($D157&lt;0,"Visit length can't be negative. ",IF($D157=0,"Visit length must be more than 0. ",IF(ABS($D157*100-ROUND($D157*100,0))&gt;0.000001,"Visit length: use up to 2 decimals. ",IF($D157&gt;24,"Visit length: 24 hours or less. ",""))))))&amp;IF($E157="","",IF(NOT(ISNUMBER($E157)),"Last visit isn't a date (it's text). ",IF($E157&lt;&gt;INT($E157),"Last visit has a time; enter a date only. ",IF(OR($E157&lt;DATE(2000,1,1),$E157&gt;DATE(2099,12,31)),"Last visit must be from 2000 to 2099. ",IF(AND(IF(ISNUMBER($B157),AND($B157=INT($B157),$B157&gt;=DATE(2000,1,1),$B157&lt;=DATE(2099,12,31)),FALSE()),$E157&lt;$B157),"Last visit is before the first visit. ","")))))))</f>
        <v/>
      </c>
      <c r="J157" s="39" t="n">
        <f aca="false">IF($H157="OK",1,0)</f>
        <v>0</v>
      </c>
      <c r="K157" s="40" t="n">
        <f aca="false">IF($J157=1,$B157,0)</f>
        <v>0</v>
      </c>
      <c r="L157" s="39" t="n">
        <f aca="false">IF($J157=1,7*MATCH($C157&amp;"",{"Weekly","Every 2 weeks","Every 3 weeks","Every 4 weeks"},0),7)</f>
        <v>7</v>
      </c>
      <c r="M157" s="40" t="n">
        <f aca="false">IF($J157=1,IF($E157="",2958465,$E157),0)</f>
        <v>0</v>
      </c>
      <c r="N157" s="39" t="n">
        <f aca="false">IF($J157=1,ROUND($D157*100,0),0)</f>
        <v>0</v>
      </c>
      <c r="O157" s="40" t="str">
        <f aca="false">IF($J157&lt;&gt;1,"",IF(AND((WeekMon+WEEKDAY($K157,2)-1)&gt;=$K157,MOD((WeekMon+WEEKDAY($K157,2)-1)-$K157,$L157)=0,(WeekMon+WEEKDAY($K157,2)-1)&lt;=$M157),(WeekMon+WEEKDAY($K157,2)-1),""))</f>
        <v/>
      </c>
      <c r="P157" s="39" t="str">
        <f aca="false">IF($O157="","",($O157-WeekMon)*1000+ROW()-11)</f>
        <v/>
      </c>
    </row>
    <row r="158" customFormat="false" ht="15" hidden="false" customHeight="false" outlineLevel="0" collapsed="false">
      <c r="A158" s="33"/>
      <c r="B158" s="34"/>
      <c r="C158" s="33"/>
      <c r="D158" s="35"/>
      <c r="E158" s="34"/>
      <c r="F158" s="36" t="str">
        <f aca="false">IF(IF(ISNUMBER($B158),AND($B158=INT($B158),$B158&gt;=DATE(2000,1,1),$B158&lt;=DATE(2099,12,31)),FALSE()),CHOOSE(WEEKDAY($B158,2),"Monday","Tuesday","Wednesday","Thursday","Friday","Saturday","Sunday"),"")</f>
        <v/>
      </c>
      <c r="G158" s="36" t="str">
        <f aca="false">IF($J158&lt;&gt;1,"",MAX(0,INT((MIN(WinStart+83,$M158)-MAX($K158,$K158+ROUNDUP((WinStart-$K158)/$L158,0)*$L158))/$L158)+1))</f>
        <v/>
      </c>
      <c r="H158" s="37" t="str">
        <f aca="false">IF(AND($A158="",$B158="",$C158="",$D158="",$E158=""),"",IF($I158="","OK","Check details"))</f>
        <v/>
      </c>
      <c r="I158" s="38" t="str">
        <f aca="false">IF(AND($A158="",$B158="",$C158="",$D158="",$E158=""),"",TRIM(IF(TRIM($A158&amp;"")="","Label is missing. ","")&amp;IF($B158="","First visit is missing. ",IF(NOT(ISNUMBER($B158)),"First visit isn't a date (it's text). ",IF($B158&lt;&gt;INT($B158),"First visit has a time; enter a date only. ",IF(OR($B158&lt;DATE(2000,1,1),$B158&gt;DATE(2099,12,31)),"First visit must be from 2000 to 2099. ",""))))&amp;IF($C158="","Repeat every is missing. ",IF(ISNA(MATCH($C158&amp;"",{"Weekly","Every 2 weeks","Every 3 weeks","Every 4 weeks"},0)),"Repeat every must be Weekly or Every 2, 3 or 4 weeks. ",""))&amp;IF($D158="","Visit length is missing. ",IF(NOT(ISNUMBER($D158)),"Visit length must be a number of hours. ",IF($D158&lt;0,"Visit length can't be negative. ",IF($D158=0,"Visit length must be more than 0. ",IF(ABS($D158*100-ROUND($D158*100,0))&gt;0.000001,"Visit length: use up to 2 decimals. ",IF($D158&gt;24,"Visit length: 24 hours or less. ",""))))))&amp;IF($E158="","",IF(NOT(ISNUMBER($E158)),"Last visit isn't a date (it's text). ",IF($E158&lt;&gt;INT($E158),"Last visit has a time; enter a date only. ",IF(OR($E158&lt;DATE(2000,1,1),$E158&gt;DATE(2099,12,31)),"Last visit must be from 2000 to 2099. ",IF(AND(IF(ISNUMBER($B158),AND($B158=INT($B158),$B158&gt;=DATE(2000,1,1),$B158&lt;=DATE(2099,12,31)),FALSE()),$E158&lt;$B158),"Last visit is before the first visit. ","")))))))</f>
        <v/>
      </c>
      <c r="J158" s="39" t="n">
        <f aca="false">IF($H158="OK",1,0)</f>
        <v>0</v>
      </c>
      <c r="K158" s="40" t="n">
        <f aca="false">IF($J158=1,$B158,0)</f>
        <v>0</v>
      </c>
      <c r="L158" s="39" t="n">
        <f aca="false">IF($J158=1,7*MATCH($C158&amp;"",{"Weekly","Every 2 weeks","Every 3 weeks","Every 4 weeks"},0),7)</f>
        <v>7</v>
      </c>
      <c r="M158" s="40" t="n">
        <f aca="false">IF($J158=1,IF($E158="",2958465,$E158),0)</f>
        <v>0</v>
      </c>
      <c r="N158" s="39" t="n">
        <f aca="false">IF($J158=1,ROUND($D158*100,0),0)</f>
        <v>0</v>
      </c>
      <c r="O158" s="40" t="str">
        <f aca="false">IF($J158&lt;&gt;1,"",IF(AND((WeekMon+WEEKDAY($K158,2)-1)&gt;=$K158,MOD((WeekMon+WEEKDAY($K158,2)-1)-$K158,$L158)=0,(WeekMon+WEEKDAY($K158,2)-1)&lt;=$M158),(WeekMon+WEEKDAY($K158,2)-1),""))</f>
        <v/>
      </c>
      <c r="P158" s="39" t="str">
        <f aca="false">IF($O158="","",($O158-WeekMon)*1000+ROW()-11)</f>
        <v/>
      </c>
    </row>
    <row r="159" customFormat="false" ht="15" hidden="false" customHeight="false" outlineLevel="0" collapsed="false">
      <c r="A159" s="33"/>
      <c r="B159" s="34"/>
      <c r="C159" s="33"/>
      <c r="D159" s="35"/>
      <c r="E159" s="34"/>
      <c r="F159" s="36" t="str">
        <f aca="false">IF(IF(ISNUMBER($B159),AND($B159=INT($B159),$B159&gt;=DATE(2000,1,1),$B159&lt;=DATE(2099,12,31)),FALSE()),CHOOSE(WEEKDAY($B159,2),"Monday","Tuesday","Wednesday","Thursday","Friday","Saturday","Sunday"),"")</f>
        <v/>
      </c>
      <c r="G159" s="36" t="str">
        <f aca="false">IF($J159&lt;&gt;1,"",MAX(0,INT((MIN(WinStart+83,$M159)-MAX($K159,$K159+ROUNDUP((WinStart-$K159)/$L159,0)*$L159))/$L159)+1))</f>
        <v/>
      </c>
      <c r="H159" s="37" t="str">
        <f aca="false">IF(AND($A159="",$B159="",$C159="",$D159="",$E159=""),"",IF($I159="","OK","Check details"))</f>
        <v/>
      </c>
      <c r="I159" s="38" t="str">
        <f aca="false">IF(AND($A159="",$B159="",$C159="",$D159="",$E159=""),"",TRIM(IF(TRIM($A159&amp;"")="","Label is missing. ","")&amp;IF($B159="","First visit is missing. ",IF(NOT(ISNUMBER($B159)),"First visit isn't a date (it's text). ",IF($B159&lt;&gt;INT($B159),"First visit has a time; enter a date only. ",IF(OR($B159&lt;DATE(2000,1,1),$B159&gt;DATE(2099,12,31)),"First visit must be from 2000 to 2099. ",""))))&amp;IF($C159="","Repeat every is missing. ",IF(ISNA(MATCH($C159&amp;"",{"Weekly","Every 2 weeks","Every 3 weeks","Every 4 weeks"},0)),"Repeat every must be Weekly or Every 2, 3 or 4 weeks. ",""))&amp;IF($D159="","Visit length is missing. ",IF(NOT(ISNUMBER($D159)),"Visit length must be a number of hours. ",IF($D159&lt;0,"Visit length can't be negative. ",IF($D159=0,"Visit length must be more than 0. ",IF(ABS($D159*100-ROUND($D159*100,0))&gt;0.000001,"Visit length: use up to 2 decimals. ",IF($D159&gt;24,"Visit length: 24 hours or less. ",""))))))&amp;IF($E159="","",IF(NOT(ISNUMBER($E159)),"Last visit isn't a date (it's text). ",IF($E159&lt;&gt;INT($E159),"Last visit has a time; enter a date only. ",IF(OR($E159&lt;DATE(2000,1,1),$E159&gt;DATE(2099,12,31)),"Last visit must be from 2000 to 2099. ",IF(AND(IF(ISNUMBER($B159),AND($B159=INT($B159),$B159&gt;=DATE(2000,1,1),$B159&lt;=DATE(2099,12,31)),FALSE()),$E159&lt;$B159),"Last visit is before the first visit. ","")))))))</f>
        <v/>
      </c>
      <c r="J159" s="39" t="n">
        <f aca="false">IF($H159="OK",1,0)</f>
        <v>0</v>
      </c>
      <c r="K159" s="40" t="n">
        <f aca="false">IF($J159=1,$B159,0)</f>
        <v>0</v>
      </c>
      <c r="L159" s="39" t="n">
        <f aca="false">IF($J159=1,7*MATCH($C159&amp;"",{"Weekly","Every 2 weeks","Every 3 weeks","Every 4 weeks"},0),7)</f>
        <v>7</v>
      </c>
      <c r="M159" s="40" t="n">
        <f aca="false">IF($J159=1,IF($E159="",2958465,$E159),0)</f>
        <v>0</v>
      </c>
      <c r="N159" s="39" t="n">
        <f aca="false">IF($J159=1,ROUND($D159*100,0),0)</f>
        <v>0</v>
      </c>
      <c r="O159" s="40" t="str">
        <f aca="false">IF($J159&lt;&gt;1,"",IF(AND((WeekMon+WEEKDAY($K159,2)-1)&gt;=$K159,MOD((WeekMon+WEEKDAY($K159,2)-1)-$K159,$L159)=0,(WeekMon+WEEKDAY($K159,2)-1)&lt;=$M159),(WeekMon+WEEKDAY($K159,2)-1),""))</f>
        <v/>
      </c>
      <c r="P159" s="39" t="str">
        <f aca="false">IF($O159="","",($O159-WeekMon)*1000+ROW()-11)</f>
        <v/>
      </c>
    </row>
    <row r="160" customFormat="false" ht="15" hidden="false" customHeight="false" outlineLevel="0" collapsed="false">
      <c r="A160" s="33"/>
      <c r="B160" s="34"/>
      <c r="C160" s="33"/>
      <c r="D160" s="35"/>
      <c r="E160" s="34"/>
      <c r="F160" s="36" t="str">
        <f aca="false">IF(IF(ISNUMBER($B160),AND($B160=INT($B160),$B160&gt;=DATE(2000,1,1),$B160&lt;=DATE(2099,12,31)),FALSE()),CHOOSE(WEEKDAY($B160,2),"Monday","Tuesday","Wednesday","Thursday","Friday","Saturday","Sunday"),"")</f>
        <v/>
      </c>
      <c r="G160" s="36" t="str">
        <f aca="false">IF($J160&lt;&gt;1,"",MAX(0,INT((MIN(WinStart+83,$M160)-MAX($K160,$K160+ROUNDUP((WinStart-$K160)/$L160,0)*$L160))/$L160)+1))</f>
        <v/>
      </c>
      <c r="H160" s="37" t="str">
        <f aca="false">IF(AND($A160="",$B160="",$C160="",$D160="",$E160=""),"",IF($I160="","OK","Check details"))</f>
        <v/>
      </c>
      <c r="I160" s="38" t="str">
        <f aca="false">IF(AND($A160="",$B160="",$C160="",$D160="",$E160=""),"",TRIM(IF(TRIM($A160&amp;"")="","Label is missing. ","")&amp;IF($B160="","First visit is missing. ",IF(NOT(ISNUMBER($B160)),"First visit isn't a date (it's text). ",IF($B160&lt;&gt;INT($B160),"First visit has a time; enter a date only. ",IF(OR($B160&lt;DATE(2000,1,1),$B160&gt;DATE(2099,12,31)),"First visit must be from 2000 to 2099. ",""))))&amp;IF($C160="","Repeat every is missing. ",IF(ISNA(MATCH($C160&amp;"",{"Weekly","Every 2 weeks","Every 3 weeks","Every 4 weeks"},0)),"Repeat every must be Weekly or Every 2, 3 or 4 weeks. ",""))&amp;IF($D160="","Visit length is missing. ",IF(NOT(ISNUMBER($D160)),"Visit length must be a number of hours. ",IF($D160&lt;0,"Visit length can't be negative. ",IF($D160=0,"Visit length must be more than 0. ",IF(ABS($D160*100-ROUND($D160*100,0))&gt;0.000001,"Visit length: use up to 2 decimals. ",IF($D160&gt;24,"Visit length: 24 hours or less. ",""))))))&amp;IF($E160="","",IF(NOT(ISNUMBER($E160)),"Last visit isn't a date (it's text). ",IF($E160&lt;&gt;INT($E160),"Last visit has a time; enter a date only. ",IF(OR($E160&lt;DATE(2000,1,1),$E160&gt;DATE(2099,12,31)),"Last visit must be from 2000 to 2099. ",IF(AND(IF(ISNUMBER($B160),AND($B160=INT($B160),$B160&gt;=DATE(2000,1,1),$B160&lt;=DATE(2099,12,31)),FALSE()),$E160&lt;$B160),"Last visit is before the first visit. ","")))))))</f>
        <v/>
      </c>
      <c r="J160" s="39" t="n">
        <f aca="false">IF($H160="OK",1,0)</f>
        <v>0</v>
      </c>
      <c r="K160" s="40" t="n">
        <f aca="false">IF($J160=1,$B160,0)</f>
        <v>0</v>
      </c>
      <c r="L160" s="39" t="n">
        <f aca="false">IF($J160=1,7*MATCH($C160&amp;"",{"Weekly","Every 2 weeks","Every 3 weeks","Every 4 weeks"},0),7)</f>
        <v>7</v>
      </c>
      <c r="M160" s="40" t="n">
        <f aca="false">IF($J160=1,IF($E160="",2958465,$E160),0)</f>
        <v>0</v>
      </c>
      <c r="N160" s="39" t="n">
        <f aca="false">IF($J160=1,ROUND($D160*100,0),0)</f>
        <v>0</v>
      </c>
      <c r="O160" s="40" t="str">
        <f aca="false">IF($J160&lt;&gt;1,"",IF(AND((WeekMon+WEEKDAY($K160,2)-1)&gt;=$K160,MOD((WeekMon+WEEKDAY($K160,2)-1)-$K160,$L160)=0,(WeekMon+WEEKDAY($K160,2)-1)&lt;=$M160),(WeekMon+WEEKDAY($K160,2)-1),""))</f>
        <v/>
      </c>
      <c r="P160" s="39" t="str">
        <f aca="false">IF($O160="","",($O160-WeekMon)*1000+ROW()-11)</f>
        <v/>
      </c>
    </row>
    <row r="161" customFormat="false" ht="15" hidden="false" customHeight="false" outlineLevel="0" collapsed="false">
      <c r="A161" s="33"/>
      <c r="B161" s="34"/>
      <c r="C161" s="33"/>
      <c r="D161" s="35"/>
      <c r="E161" s="34"/>
      <c r="F161" s="36" t="str">
        <f aca="false">IF(IF(ISNUMBER($B161),AND($B161=INT($B161),$B161&gt;=DATE(2000,1,1),$B161&lt;=DATE(2099,12,31)),FALSE()),CHOOSE(WEEKDAY($B161,2),"Monday","Tuesday","Wednesday","Thursday","Friday","Saturday","Sunday"),"")</f>
        <v/>
      </c>
      <c r="G161" s="36" t="str">
        <f aca="false">IF($J161&lt;&gt;1,"",MAX(0,INT((MIN(WinStart+83,$M161)-MAX($K161,$K161+ROUNDUP((WinStart-$K161)/$L161,0)*$L161))/$L161)+1))</f>
        <v/>
      </c>
      <c r="H161" s="37" t="str">
        <f aca="false">IF(AND($A161="",$B161="",$C161="",$D161="",$E161=""),"",IF($I161="","OK","Check details"))</f>
        <v/>
      </c>
      <c r="I161" s="38" t="str">
        <f aca="false">IF(AND($A161="",$B161="",$C161="",$D161="",$E161=""),"",TRIM(IF(TRIM($A161&amp;"")="","Label is missing. ","")&amp;IF($B161="","First visit is missing. ",IF(NOT(ISNUMBER($B161)),"First visit isn't a date (it's text). ",IF($B161&lt;&gt;INT($B161),"First visit has a time; enter a date only. ",IF(OR($B161&lt;DATE(2000,1,1),$B161&gt;DATE(2099,12,31)),"First visit must be from 2000 to 2099. ",""))))&amp;IF($C161="","Repeat every is missing. ",IF(ISNA(MATCH($C161&amp;"",{"Weekly","Every 2 weeks","Every 3 weeks","Every 4 weeks"},0)),"Repeat every must be Weekly or Every 2, 3 or 4 weeks. ",""))&amp;IF($D161="","Visit length is missing. ",IF(NOT(ISNUMBER($D161)),"Visit length must be a number of hours. ",IF($D161&lt;0,"Visit length can't be negative. ",IF($D161=0,"Visit length must be more than 0. ",IF(ABS($D161*100-ROUND($D161*100,0))&gt;0.000001,"Visit length: use up to 2 decimals. ",IF($D161&gt;24,"Visit length: 24 hours or less. ",""))))))&amp;IF($E161="","",IF(NOT(ISNUMBER($E161)),"Last visit isn't a date (it's text). ",IF($E161&lt;&gt;INT($E161),"Last visit has a time; enter a date only. ",IF(OR($E161&lt;DATE(2000,1,1),$E161&gt;DATE(2099,12,31)),"Last visit must be from 2000 to 2099. ",IF(AND(IF(ISNUMBER($B161),AND($B161=INT($B161),$B161&gt;=DATE(2000,1,1),$B161&lt;=DATE(2099,12,31)),FALSE()),$E161&lt;$B161),"Last visit is before the first visit. ","")))))))</f>
        <v/>
      </c>
      <c r="J161" s="39" t="n">
        <f aca="false">IF($H161="OK",1,0)</f>
        <v>0</v>
      </c>
      <c r="K161" s="40" t="n">
        <f aca="false">IF($J161=1,$B161,0)</f>
        <v>0</v>
      </c>
      <c r="L161" s="39" t="n">
        <f aca="false">IF($J161=1,7*MATCH($C161&amp;"",{"Weekly","Every 2 weeks","Every 3 weeks","Every 4 weeks"},0),7)</f>
        <v>7</v>
      </c>
      <c r="M161" s="40" t="n">
        <f aca="false">IF($J161=1,IF($E161="",2958465,$E161),0)</f>
        <v>0</v>
      </c>
      <c r="N161" s="39" t="n">
        <f aca="false">IF($J161=1,ROUND($D161*100,0),0)</f>
        <v>0</v>
      </c>
      <c r="O161" s="40" t="str">
        <f aca="false">IF($J161&lt;&gt;1,"",IF(AND((WeekMon+WEEKDAY($K161,2)-1)&gt;=$K161,MOD((WeekMon+WEEKDAY($K161,2)-1)-$K161,$L161)=0,(WeekMon+WEEKDAY($K161,2)-1)&lt;=$M161),(WeekMon+WEEKDAY($K161,2)-1),""))</f>
        <v/>
      </c>
      <c r="P161" s="39" t="str">
        <f aca="false">IF($O161="","",($O161-WeekMon)*1000+ROW()-11)</f>
        <v/>
      </c>
    </row>
    <row r="162" customFormat="false" ht="15" hidden="false" customHeight="false" outlineLevel="0" collapsed="false">
      <c r="A162" s="33"/>
      <c r="B162" s="34"/>
      <c r="C162" s="33"/>
      <c r="D162" s="35"/>
      <c r="E162" s="34"/>
      <c r="F162" s="36" t="str">
        <f aca="false">IF(IF(ISNUMBER($B162),AND($B162=INT($B162),$B162&gt;=DATE(2000,1,1),$B162&lt;=DATE(2099,12,31)),FALSE()),CHOOSE(WEEKDAY($B162,2),"Monday","Tuesday","Wednesday","Thursday","Friday","Saturday","Sunday"),"")</f>
        <v/>
      </c>
      <c r="G162" s="36" t="str">
        <f aca="false">IF($J162&lt;&gt;1,"",MAX(0,INT((MIN(WinStart+83,$M162)-MAX($K162,$K162+ROUNDUP((WinStart-$K162)/$L162,0)*$L162))/$L162)+1))</f>
        <v/>
      </c>
      <c r="H162" s="37" t="str">
        <f aca="false">IF(AND($A162="",$B162="",$C162="",$D162="",$E162=""),"",IF($I162="","OK","Check details"))</f>
        <v/>
      </c>
      <c r="I162" s="38" t="str">
        <f aca="false">IF(AND($A162="",$B162="",$C162="",$D162="",$E162=""),"",TRIM(IF(TRIM($A162&amp;"")="","Label is missing. ","")&amp;IF($B162="","First visit is missing. ",IF(NOT(ISNUMBER($B162)),"First visit isn't a date (it's text). ",IF($B162&lt;&gt;INT($B162),"First visit has a time; enter a date only. ",IF(OR($B162&lt;DATE(2000,1,1),$B162&gt;DATE(2099,12,31)),"First visit must be from 2000 to 2099. ",""))))&amp;IF($C162="","Repeat every is missing. ",IF(ISNA(MATCH($C162&amp;"",{"Weekly","Every 2 weeks","Every 3 weeks","Every 4 weeks"},0)),"Repeat every must be Weekly or Every 2, 3 or 4 weeks. ",""))&amp;IF($D162="","Visit length is missing. ",IF(NOT(ISNUMBER($D162)),"Visit length must be a number of hours. ",IF($D162&lt;0,"Visit length can't be negative. ",IF($D162=0,"Visit length must be more than 0. ",IF(ABS($D162*100-ROUND($D162*100,0))&gt;0.000001,"Visit length: use up to 2 decimals. ",IF($D162&gt;24,"Visit length: 24 hours or less. ",""))))))&amp;IF($E162="","",IF(NOT(ISNUMBER($E162)),"Last visit isn't a date (it's text). ",IF($E162&lt;&gt;INT($E162),"Last visit has a time; enter a date only. ",IF(OR($E162&lt;DATE(2000,1,1),$E162&gt;DATE(2099,12,31)),"Last visit must be from 2000 to 2099. ",IF(AND(IF(ISNUMBER($B162),AND($B162=INT($B162),$B162&gt;=DATE(2000,1,1),$B162&lt;=DATE(2099,12,31)),FALSE()),$E162&lt;$B162),"Last visit is before the first visit. ","")))))))</f>
        <v/>
      </c>
      <c r="J162" s="39" t="n">
        <f aca="false">IF($H162="OK",1,0)</f>
        <v>0</v>
      </c>
      <c r="K162" s="40" t="n">
        <f aca="false">IF($J162=1,$B162,0)</f>
        <v>0</v>
      </c>
      <c r="L162" s="39" t="n">
        <f aca="false">IF($J162=1,7*MATCH($C162&amp;"",{"Weekly","Every 2 weeks","Every 3 weeks","Every 4 weeks"},0),7)</f>
        <v>7</v>
      </c>
      <c r="M162" s="40" t="n">
        <f aca="false">IF($J162=1,IF($E162="",2958465,$E162),0)</f>
        <v>0</v>
      </c>
      <c r="N162" s="39" t="n">
        <f aca="false">IF($J162=1,ROUND($D162*100,0),0)</f>
        <v>0</v>
      </c>
      <c r="O162" s="40" t="str">
        <f aca="false">IF($J162&lt;&gt;1,"",IF(AND((WeekMon+WEEKDAY($K162,2)-1)&gt;=$K162,MOD((WeekMon+WEEKDAY($K162,2)-1)-$K162,$L162)=0,(WeekMon+WEEKDAY($K162,2)-1)&lt;=$M162),(WeekMon+WEEKDAY($K162,2)-1),""))</f>
        <v/>
      </c>
      <c r="P162" s="39" t="str">
        <f aca="false">IF($O162="","",($O162-WeekMon)*1000+ROW()-11)</f>
        <v/>
      </c>
    </row>
    <row r="163" customFormat="false" ht="15" hidden="false" customHeight="false" outlineLevel="0" collapsed="false">
      <c r="A163" s="33"/>
      <c r="B163" s="34"/>
      <c r="C163" s="33"/>
      <c r="D163" s="35"/>
      <c r="E163" s="34"/>
      <c r="F163" s="36" t="str">
        <f aca="false">IF(IF(ISNUMBER($B163),AND($B163=INT($B163),$B163&gt;=DATE(2000,1,1),$B163&lt;=DATE(2099,12,31)),FALSE()),CHOOSE(WEEKDAY($B163,2),"Monday","Tuesday","Wednesday","Thursday","Friday","Saturday","Sunday"),"")</f>
        <v/>
      </c>
      <c r="G163" s="36" t="str">
        <f aca="false">IF($J163&lt;&gt;1,"",MAX(0,INT((MIN(WinStart+83,$M163)-MAX($K163,$K163+ROUNDUP((WinStart-$K163)/$L163,0)*$L163))/$L163)+1))</f>
        <v/>
      </c>
      <c r="H163" s="37" t="str">
        <f aca="false">IF(AND($A163="",$B163="",$C163="",$D163="",$E163=""),"",IF($I163="","OK","Check details"))</f>
        <v/>
      </c>
      <c r="I163" s="38" t="str">
        <f aca="false">IF(AND($A163="",$B163="",$C163="",$D163="",$E163=""),"",TRIM(IF(TRIM($A163&amp;"")="","Label is missing. ","")&amp;IF($B163="","First visit is missing. ",IF(NOT(ISNUMBER($B163)),"First visit isn't a date (it's text). ",IF($B163&lt;&gt;INT($B163),"First visit has a time; enter a date only. ",IF(OR($B163&lt;DATE(2000,1,1),$B163&gt;DATE(2099,12,31)),"First visit must be from 2000 to 2099. ",""))))&amp;IF($C163="","Repeat every is missing. ",IF(ISNA(MATCH($C163&amp;"",{"Weekly","Every 2 weeks","Every 3 weeks","Every 4 weeks"},0)),"Repeat every must be Weekly or Every 2, 3 or 4 weeks. ",""))&amp;IF($D163="","Visit length is missing. ",IF(NOT(ISNUMBER($D163)),"Visit length must be a number of hours. ",IF($D163&lt;0,"Visit length can't be negative. ",IF($D163=0,"Visit length must be more than 0. ",IF(ABS($D163*100-ROUND($D163*100,0))&gt;0.000001,"Visit length: use up to 2 decimals. ",IF($D163&gt;24,"Visit length: 24 hours or less. ",""))))))&amp;IF($E163="","",IF(NOT(ISNUMBER($E163)),"Last visit isn't a date (it's text). ",IF($E163&lt;&gt;INT($E163),"Last visit has a time; enter a date only. ",IF(OR($E163&lt;DATE(2000,1,1),$E163&gt;DATE(2099,12,31)),"Last visit must be from 2000 to 2099. ",IF(AND(IF(ISNUMBER($B163),AND($B163=INT($B163),$B163&gt;=DATE(2000,1,1),$B163&lt;=DATE(2099,12,31)),FALSE()),$E163&lt;$B163),"Last visit is before the first visit. ","")))))))</f>
        <v/>
      </c>
      <c r="J163" s="39" t="n">
        <f aca="false">IF($H163="OK",1,0)</f>
        <v>0</v>
      </c>
      <c r="K163" s="40" t="n">
        <f aca="false">IF($J163=1,$B163,0)</f>
        <v>0</v>
      </c>
      <c r="L163" s="39" t="n">
        <f aca="false">IF($J163=1,7*MATCH($C163&amp;"",{"Weekly","Every 2 weeks","Every 3 weeks","Every 4 weeks"},0),7)</f>
        <v>7</v>
      </c>
      <c r="M163" s="40" t="n">
        <f aca="false">IF($J163=1,IF($E163="",2958465,$E163),0)</f>
        <v>0</v>
      </c>
      <c r="N163" s="39" t="n">
        <f aca="false">IF($J163=1,ROUND($D163*100,0),0)</f>
        <v>0</v>
      </c>
      <c r="O163" s="40" t="str">
        <f aca="false">IF($J163&lt;&gt;1,"",IF(AND((WeekMon+WEEKDAY($K163,2)-1)&gt;=$K163,MOD((WeekMon+WEEKDAY($K163,2)-1)-$K163,$L163)=0,(WeekMon+WEEKDAY($K163,2)-1)&lt;=$M163),(WeekMon+WEEKDAY($K163,2)-1),""))</f>
        <v/>
      </c>
      <c r="P163" s="39" t="str">
        <f aca="false">IF($O163="","",($O163-WeekMon)*1000+ROW()-11)</f>
        <v/>
      </c>
    </row>
    <row r="164" customFormat="false" ht="15" hidden="false" customHeight="false" outlineLevel="0" collapsed="false">
      <c r="A164" s="33"/>
      <c r="B164" s="34"/>
      <c r="C164" s="33"/>
      <c r="D164" s="35"/>
      <c r="E164" s="34"/>
      <c r="F164" s="36" t="str">
        <f aca="false">IF(IF(ISNUMBER($B164),AND($B164=INT($B164),$B164&gt;=DATE(2000,1,1),$B164&lt;=DATE(2099,12,31)),FALSE()),CHOOSE(WEEKDAY($B164,2),"Monday","Tuesday","Wednesday","Thursday","Friday","Saturday","Sunday"),"")</f>
        <v/>
      </c>
      <c r="G164" s="36" t="str">
        <f aca="false">IF($J164&lt;&gt;1,"",MAX(0,INT((MIN(WinStart+83,$M164)-MAX($K164,$K164+ROUNDUP((WinStart-$K164)/$L164,0)*$L164))/$L164)+1))</f>
        <v/>
      </c>
      <c r="H164" s="37" t="str">
        <f aca="false">IF(AND($A164="",$B164="",$C164="",$D164="",$E164=""),"",IF($I164="","OK","Check details"))</f>
        <v/>
      </c>
      <c r="I164" s="38" t="str">
        <f aca="false">IF(AND($A164="",$B164="",$C164="",$D164="",$E164=""),"",TRIM(IF(TRIM($A164&amp;"")="","Label is missing. ","")&amp;IF($B164="","First visit is missing. ",IF(NOT(ISNUMBER($B164)),"First visit isn't a date (it's text). ",IF($B164&lt;&gt;INT($B164),"First visit has a time; enter a date only. ",IF(OR($B164&lt;DATE(2000,1,1),$B164&gt;DATE(2099,12,31)),"First visit must be from 2000 to 2099. ",""))))&amp;IF($C164="","Repeat every is missing. ",IF(ISNA(MATCH($C164&amp;"",{"Weekly","Every 2 weeks","Every 3 weeks","Every 4 weeks"},0)),"Repeat every must be Weekly or Every 2, 3 or 4 weeks. ",""))&amp;IF($D164="","Visit length is missing. ",IF(NOT(ISNUMBER($D164)),"Visit length must be a number of hours. ",IF($D164&lt;0,"Visit length can't be negative. ",IF($D164=0,"Visit length must be more than 0. ",IF(ABS($D164*100-ROUND($D164*100,0))&gt;0.000001,"Visit length: use up to 2 decimals. ",IF($D164&gt;24,"Visit length: 24 hours or less. ",""))))))&amp;IF($E164="","",IF(NOT(ISNUMBER($E164)),"Last visit isn't a date (it's text). ",IF($E164&lt;&gt;INT($E164),"Last visit has a time; enter a date only. ",IF(OR($E164&lt;DATE(2000,1,1),$E164&gt;DATE(2099,12,31)),"Last visit must be from 2000 to 2099. ",IF(AND(IF(ISNUMBER($B164),AND($B164=INT($B164),$B164&gt;=DATE(2000,1,1),$B164&lt;=DATE(2099,12,31)),FALSE()),$E164&lt;$B164),"Last visit is before the first visit. ","")))))))</f>
        <v/>
      </c>
      <c r="J164" s="39" t="n">
        <f aca="false">IF($H164="OK",1,0)</f>
        <v>0</v>
      </c>
      <c r="K164" s="40" t="n">
        <f aca="false">IF($J164=1,$B164,0)</f>
        <v>0</v>
      </c>
      <c r="L164" s="39" t="n">
        <f aca="false">IF($J164=1,7*MATCH($C164&amp;"",{"Weekly","Every 2 weeks","Every 3 weeks","Every 4 weeks"},0),7)</f>
        <v>7</v>
      </c>
      <c r="M164" s="40" t="n">
        <f aca="false">IF($J164=1,IF($E164="",2958465,$E164),0)</f>
        <v>0</v>
      </c>
      <c r="N164" s="39" t="n">
        <f aca="false">IF($J164=1,ROUND($D164*100,0),0)</f>
        <v>0</v>
      </c>
      <c r="O164" s="40" t="str">
        <f aca="false">IF($J164&lt;&gt;1,"",IF(AND((WeekMon+WEEKDAY($K164,2)-1)&gt;=$K164,MOD((WeekMon+WEEKDAY($K164,2)-1)-$K164,$L164)=0,(WeekMon+WEEKDAY($K164,2)-1)&lt;=$M164),(WeekMon+WEEKDAY($K164,2)-1),""))</f>
        <v/>
      </c>
      <c r="P164" s="39" t="str">
        <f aca="false">IF($O164="","",($O164-WeekMon)*1000+ROW()-11)</f>
        <v/>
      </c>
    </row>
    <row r="165" customFormat="false" ht="15" hidden="false" customHeight="false" outlineLevel="0" collapsed="false">
      <c r="A165" s="33"/>
      <c r="B165" s="34"/>
      <c r="C165" s="33"/>
      <c r="D165" s="35"/>
      <c r="E165" s="34"/>
      <c r="F165" s="36" t="str">
        <f aca="false">IF(IF(ISNUMBER($B165),AND($B165=INT($B165),$B165&gt;=DATE(2000,1,1),$B165&lt;=DATE(2099,12,31)),FALSE()),CHOOSE(WEEKDAY($B165,2),"Monday","Tuesday","Wednesday","Thursday","Friday","Saturday","Sunday"),"")</f>
        <v/>
      </c>
      <c r="G165" s="36" t="str">
        <f aca="false">IF($J165&lt;&gt;1,"",MAX(0,INT((MIN(WinStart+83,$M165)-MAX($K165,$K165+ROUNDUP((WinStart-$K165)/$L165,0)*$L165))/$L165)+1))</f>
        <v/>
      </c>
      <c r="H165" s="37" t="str">
        <f aca="false">IF(AND($A165="",$B165="",$C165="",$D165="",$E165=""),"",IF($I165="","OK","Check details"))</f>
        <v/>
      </c>
      <c r="I165" s="38" t="str">
        <f aca="false">IF(AND($A165="",$B165="",$C165="",$D165="",$E165=""),"",TRIM(IF(TRIM($A165&amp;"")="","Label is missing. ","")&amp;IF($B165="","First visit is missing. ",IF(NOT(ISNUMBER($B165)),"First visit isn't a date (it's text). ",IF($B165&lt;&gt;INT($B165),"First visit has a time; enter a date only. ",IF(OR($B165&lt;DATE(2000,1,1),$B165&gt;DATE(2099,12,31)),"First visit must be from 2000 to 2099. ",""))))&amp;IF($C165="","Repeat every is missing. ",IF(ISNA(MATCH($C165&amp;"",{"Weekly","Every 2 weeks","Every 3 weeks","Every 4 weeks"},0)),"Repeat every must be Weekly or Every 2, 3 or 4 weeks. ",""))&amp;IF($D165="","Visit length is missing. ",IF(NOT(ISNUMBER($D165)),"Visit length must be a number of hours. ",IF($D165&lt;0,"Visit length can't be negative. ",IF($D165=0,"Visit length must be more than 0. ",IF(ABS($D165*100-ROUND($D165*100,0))&gt;0.000001,"Visit length: use up to 2 decimals. ",IF($D165&gt;24,"Visit length: 24 hours or less. ",""))))))&amp;IF($E165="","",IF(NOT(ISNUMBER($E165)),"Last visit isn't a date (it's text). ",IF($E165&lt;&gt;INT($E165),"Last visit has a time; enter a date only. ",IF(OR($E165&lt;DATE(2000,1,1),$E165&gt;DATE(2099,12,31)),"Last visit must be from 2000 to 2099. ",IF(AND(IF(ISNUMBER($B165),AND($B165=INT($B165),$B165&gt;=DATE(2000,1,1),$B165&lt;=DATE(2099,12,31)),FALSE()),$E165&lt;$B165),"Last visit is before the first visit. ","")))))))</f>
        <v/>
      </c>
      <c r="J165" s="39" t="n">
        <f aca="false">IF($H165="OK",1,0)</f>
        <v>0</v>
      </c>
      <c r="K165" s="40" t="n">
        <f aca="false">IF($J165=1,$B165,0)</f>
        <v>0</v>
      </c>
      <c r="L165" s="39" t="n">
        <f aca="false">IF($J165=1,7*MATCH($C165&amp;"",{"Weekly","Every 2 weeks","Every 3 weeks","Every 4 weeks"},0),7)</f>
        <v>7</v>
      </c>
      <c r="M165" s="40" t="n">
        <f aca="false">IF($J165=1,IF($E165="",2958465,$E165),0)</f>
        <v>0</v>
      </c>
      <c r="N165" s="39" t="n">
        <f aca="false">IF($J165=1,ROUND($D165*100,0),0)</f>
        <v>0</v>
      </c>
      <c r="O165" s="40" t="str">
        <f aca="false">IF($J165&lt;&gt;1,"",IF(AND((WeekMon+WEEKDAY($K165,2)-1)&gt;=$K165,MOD((WeekMon+WEEKDAY($K165,2)-1)-$K165,$L165)=0,(WeekMon+WEEKDAY($K165,2)-1)&lt;=$M165),(WeekMon+WEEKDAY($K165,2)-1),""))</f>
        <v/>
      </c>
      <c r="P165" s="39" t="str">
        <f aca="false">IF($O165="","",($O165-WeekMon)*1000+ROW()-11)</f>
        <v/>
      </c>
    </row>
    <row r="166" customFormat="false" ht="15" hidden="false" customHeight="false" outlineLevel="0" collapsed="false">
      <c r="A166" s="33"/>
      <c r="B166" s="34"/>
      <c r="C166" s="33"/>
      <c r="D166" s="35"/>
      <c r="E166" s="34"/>
      <c r="F166" s="36" t="str">
        <f aca="false">IF(IF(ISNUMBER($B166),AND($B166=INT($B166),$B166&gt;=DATE(2000,1,1),$B166&lt;=DATE(2099,12,31)),FALSE()),CHOOSE(WEEKDAY($B166,2),"Monday","Tuesday","Wednesday","Thursday","Friday","Saturday","Sunday"),"")</f>
        <v/>
      </c>
      <c r="G166" s="36" t="str">
        <f aca="false">IF($J166&lt;&gt;1,"",MAX(0,INT((MIN(WinStart+83,$M166)-MAX($K166,$K166+ROUNDUP((WinStart-$K166)/$L166,0)*$L166))/$L166)+1))</f>
        <v/>
      </c>
      <c r="H166" s="37" t="str">
        <f aca="false">IF(AND($A166="",$B166="",$C166="",$D166="",$E166=""),"",IF($I166="","OK","Check details"))</f>
        <v/>
      </c>
      <c r="I166" s="38" t="str">
        <f aca="false">IF(AND($A166="",$B166="",$C166="",$D166="",$E166=""),"",TRIM(IF(TRIM($A166&amp;"")="","Label is missing. ","")&amp;IF($B166="","First visit is missing. ",IF(NOT(ISNUMBER($B166)),"First visit isn't a date (it's text). ",IF($B166&lt;&gt;INT($B166),"First visit has a time; enter a date only. ",IF(OR($B166&lt;DATE(2000,1,1),$B166&gt;DATE(2099,12,31)),"First visit must be from 2000 to 2099. ",""))))&amp;IF($C166="","Repeat every is missing. ",IF(ISNA(MATCH($C166&amp;"",{"Weekly","Every 2 weeks","Every 3 weeks","Every 4 weeks"},0)),"Repeat every must be Weekly or Every 2, 3 or 4 weeks. ",""))&amp;IF($D166="","Visit length is missing. ",IF(NOT(ISNUMBER($D166)),"Visit length must be a number of hours. ",IF($D166&lt;0,"Visit length can't be negative. ",IF($D166=0,"Visit length must be more than 0. ",IF(ABS($D166*100-ROUND($D166*100,0))&gt;0.000001,"Visit length: use up to 2 decimals. ",IF($D166&gt;24,"Visit length: 24 hours or less. ",""))))))&amp;IF($E166="","",IF(NOT(ISNUMBER($E166)),"Last visit isn't a date (it's text). ",IF($E166&lt;&gt;INT($E166),"Last visit has a time; enter a date only. ",IF(OR($E166&lt;DATE(2000,1,1),$E166&gt;DATE(2099,12,31)),"Last visit must be from 2000 to 2099. ",IF(AND(IF(ISNUMBER($B166),AND($B166=INT($B166),$B166&gt;=DATE(2000,1,1),$B166&lt;=DATE(2099,12,31)),FALSE()),$E166&lt;$B166),"Last visit is before the first visit. ","")))))))</f>
        <v/>
      </c>
      <c r="J166" s="39" t="n">
        <f aca="false">IF($H166="OK",1,0)</f>
        <v>0</v>
      </c>
      <c r="K166" s="40" t="n">
        <f aca="false">IF($J166=1,$B166,0)</f>
        <v>0</v>
      </c>
      <c r="L166" s="39" t="n">
        <f aca="false">IF($J166=1,7*MATCH($C166&amp;"",{"Weekly","Every 2 weeks","Every 3 weeks","Every 4 weeks"},0),7)</f>
        <v>7</v>
      </c>
      <c r="M166" s="40" t="n">
        <f aca="false">IF($J166=1,IF($E166="",2958465,$E166),0)</f>
        <v>0</v>
      </c>
      <c r="N166" s="39" t="n">
        <f aca="false">IF($J166=1,ROUND($D166*100,0),0)</f>
        <v>0</v>
      </c>
      <c r="O166" s="40" t="str">
        <f aca="false">IF($J166&lt;&gt;1,"",IF(AND((WeekMon+WEEKDAY($K166,2)-1)&gt;=$K166,MOD((WeekMon+WEEKDAY($K166,2)-1)-$K166,$L166)=0,(WeekMon+WEEKDAY($K166,2)-1)&lt;=$M166),(WeekMon+WEEKDAY($K166,2)-1),""))</f>
        <v/>
      </c>
      <c r="P166" s="39" t="str">
        <f aca="false">IF($O166="","",($O166-WeekMon)*1000+ROW()-11)</f>
        <v/>
      </c>
    </row>
    <row r="167" customFormat="false" ht="15" hidden="false" customHeight="false" outlineLevel="0" collapsed="false">
      <c r="A167" s="33"/>
      <c r="B167" s="34"/>
      <c r="C167" s="33"/>
      <c r="D167" s="35"/>
      <c r="E167" s="34"/>
      <c r="F167" s="36" t="str">
        <f aca="false">IF(IF(ISNUMBER($B167),AND($B167=INT($B167),$B167&gt;=DATE(2000,1,1),$B167&lt;=DATE(2099,12,31)),FALSE()),CHOOSE(WEEKDAY($B167,2),"Monday","Tuesday","Wednesday","Thursday","Friday","Saturday","Sunday"),"")</f>
        <v/>
      </c>
      <c r="G167" s="36" t="str">
        <f aca="false">IF($J167&lt;&gt;1,"",MAX(0,INT((MIN(WinStart+83,$M167)-MAX($K167,$K167+ROUNDUP((WinStart-$K167)/$L167,0)*$L167))/$L167)+1))</f>
        <v/>
      </c>
      <c r="H167" s="37" t="str">
        <f aca="false">IF(AND($A167="",$B167="",$C167="",$D167="",$E167=""),"",IF($I167="","OK","Check details"))</f>
        <v/>
      </c>
      <c r="I167" s="38" t="str">
        <f aca="false">IF(AND($A167="",$B167="",$C167="",$D167="",$E167=""),"",TRIM(IF(TRIM($A167&amp;"")="","Label is missing. ","")&amp;IF($B167="","First visit is missing. ",IF(NOT(ISNUMBER($B167)),"First visit isn't a date (it's text). ",IF($B167&lt;&gt;INT($B167),"First visit has a time; enter a date only. ",IF(OR($B167&lt;DATE(2000,1,1),$B167&gt;DATE(2099,12,31)),"First visit must be from 2000 to 2099. ",""))))&amp;IF($C167="","Repeat every is missing. ",IF(ISNA(MATCH($C167&amp;"",{"Weekly","Every 2 weeks","Every 3 weeks","Every 4 weeks"},0)),"Repeat every must be Weekly or Every 2, 3 or 4 weeks. ",""))&amp;IF($D167="","Visit length is missing. ",IF(NOT(ISNUMBER($D167)),"Visit length must be a number of hours. ",IF($D167&lt;0,"Visit length can't be negative. ",IF($D167=0,"Visit length must be more than 0. ",IF(ABS($D167*100-ROUND($D167*100,0))&gt;0.000001,"Visit length: use up to 2 decimals. ",IF($D167&gt;24,"Visit length: 24 hours or less. ",""))))))&amp;IF($E167="","",IF(NOT(ISNUMBER($E167)),"Last visit isn't a date (it's text). ",IF($E167&lt;&gt;INT($E167),"Last visit has a time; enter a date only. ",IF(OR($E167&lt;DATE(2000,1,1),$E167&gt;DATE(2099,12,31)),"Last visit must be from 2000 to 2099. ",IF(AND(IF(ISNUMBER($B167),AND($B167=INT($B167),$B167&gt;=DATE(2000,1,1),$B167&lt;=DATE(2099,12,31)),FALSE()),$E167&lt;$B167),"Last visit is before the first visit. ","")))))))</f>
        <v/>
      </c>
      <c r="J167" s="39" t="n">
        <f aca="false">IF($H167="OK",1,0)</f>
        <v>0</v>
      </c>
      <c r="K167" s="40" t="n">
        <f aca="false">IF($J167=1,$B167,0)</f>
        <v>0</v>
      </c>
      <c r="L167" s="39" t="n">
        <f aca="false">IF($J167=1,7*MATCH($C167&amp;"",{"Weekly","Every 2 weeks","Every 3 weeks","Every 4 weeks"},0),7)</f>
        <v>7</v>
      </c>
      <c r="M167" s="40" t="n">
        <f aca="false">IF($J167=1,IF($E167="",2958465,$E167),0)</f>
        <v>0</v>
      </c>
      <c r="N167" s="39" t="n">
        <f aca="false">IF($J167=1,ROUND($D167*100,0),0)</f>
        <v>0</v>
      </c>
      <c r="O167" s="40" t="str">
        <f aca="false">IF($J167&lt;&gt;1,"",IF(AND((WeekMon+WEEKDAY($K167,2)-1)&gt;=$K167,MOD((WeekMon+WEEKDAY($K167,2)-1)-$K167,$L167)=0,(WeekMon+WEEKDAY($K167,2)-1)&lt;=$M167),(WeekMon+WEEKDAY($K167,2)-1),""))</f>
        <v/>
      </c>
      <c r="P167" s="39" t="str">
        <f aca="false">IF($O167="","",($O167-WeekMon)*1000+ROW()-11)</f>
        <v/>
      </c>
    </row>
    <row r="168" customFormat="false" ht="15" hidden="false" customHeight="false" outlineLevel="0" collapsed="false">
      <c r="A168" s="33"/>
      <c r="B168" s="34"/>
      <c r="C168" s="33"/>
      <c r="D168" s="35"/>
      <c r="E168" s="34"/>
      <c r="F168" s="36" t="str">
        <f aca="false">IF(IF(ISNUMBER($B168),AND($B168=INT($B168),$B168&gt;=DATE(2000,1,1),$B168&lt;=DATE(2099,12,31)),FALSE()),CHOOSE(WEEKDAY($B168,2),"Monday","Tuesday","Wednesday","Thursday","Friday","Saturday","Sunday"),"")</f>
        <v/>
      </c>
      <c r="G168" s="36" t="str">
        <f aca="false">IF($J168&lt;&gt;1,"",MAX(0,INT((MIN(WinStart+83,$M168)-MAX($K168,$K168+ROUNDUP((WinStart-$K168)/$L168,0)*$L168))/$L168)+1))</f>
        <v/>
      </c>
      <c r="H168" s="37" t="str">
        <f aca="false">IF(AND($A168="",$B168="",$C168="",$D168="",$E168=""),"",IF($I168="","OK","Check details"))</f>
        <v/>
      </c>
      <c r="I168" s="38" t="str">
        <f aca="false">IF(AND($A168="",$B168="",$C168="",$D168="",$E168=""),"",TRIM(IF(TRIM($A168&amp;"")="","Label is missing. ","")&amp;IF($B168="","First visit is missing. ",IF(NOT(ISNUMBER($B168)),"First visit isn't a date (it's text). ",IF($B168&lt;&gt;INT($B168),"First visit has a time; enter a date only. ",IF(OR($B168&lt;DATE(2000,1,1),$B168&gt;DATE(2099,12,31)),"First visit must be from 2000 to 2099. ",""))))&amp;IF($C168="","Repeat every is missing. ",IF(ISNA(MATCH($C168&amp;"",{"Weekly","Every 2 weeks","Every 3 weeks","Every 4 weeks"},0)),"Repeat every must be Weekly or Every 2, 3 or 4 weeks. ",""))&amp;IF($D168="","Visit length is missing. ",IF(NOT(ISNUMBER($D168)),"Visit length must be a number of hours. ",IF($D168&lt;0,"Visit length can't be negative. ",IF($D168=0,"Visit length must be more than 0. ",IF(ABS($D168*100-ROUND($D168*100,0))&gt;0.000001,"Visit length: use up to 2 decimals. ",IF($D168&gt;24,"Visit length: 24 hours or less. ",""))))))&amp;IF($E168="","",IF(NOT(ISNUMBER($E168)),"Last visit isn't a date (it's text). ",IF($E168&lt;&gt;INT($E168),"Last visit has a time; enter a date only. ",IF(OR($E168&lt;DATE(2000,1,1),$E168&gt;DATE(2099,12,31)),"Last visit must be from 2000 to 2099. ",IF(AND(IF(ISNUMBER($B168),AND($B168=INT($B168),$B168&gt;=DATE(2000,1,1),$B168&lt;=DATE(2099,12,31)),FALSE()),$E168&lt;$B168),"Last visit is before the first visit. ","")))))))</f>
        <v/>
      </c>
      <c r="J168" s="39" t="n">
        <f aca="false">IF($H168="OK",1,0)</f>
        <v>0</v>
      </c>
      <c r="K168" s="40" t="n">
        <f aca="false">IF($J168=1,$B168,0)</f>
        <v>0</v>
      </c>
      <c r="L168" s="39" t="n">
        <f aca="false">IF($J168=1,7*MATCH($C168&amp;"",{"Weekly","Every 2 weeks","Every 3 weeks","Every 4 weeks"},0),7)</f>
        <v>7</v>
      </c>
      <c r="M168" s="40" t="n">
        <f aca="false">IF($J168=1,IF($E168="",2958465,$E168),0)</f>
        <v>0</v>
      </c>
      <c r="N168" s="39" t="n">
        <f aca="false">IF($J168=1,ROUND($D168*100,0),0)</f>
        <v>0</v>
      </c>
      <c r="O168" s="40" t="str">
        <f aca="false">IF($J168&lt;&gt;1,"",IF(AND((WeekMon+WEEKDAY($K168,2)-1)&gt;=$K168,MOD((WeekMon+WEEKDAY($K168,2)-1)-$K168,$L168)=0,(WeekMon+WEEKDAY($K168,2)-1)&lt;=$M168),(WeekMon+WEEKDAY($K168,2)-1),""))</f>
        <v/>
      </c>
      <c r="P168" s="39" t="str">
        <f aca="false">IF($O168="","",($O168-WeekMon)*1000+ROW()-11)</f>
        <v/>
      </c>
    </row>
    <row r="169" customFormat="false" ht="15" hidden="false" customHeight="false" outlineLevel="0" collapsed="false">
      <c r="A169" s="33"/>
      <c r="B169" s="34"/>
      <c r="C169" s="33"/>
      <c r="D169" s="35"/>
      <c r="E169" s="34"/>
      <c r="F169" s="36" t="str">
        <f aca="false">IF(IF(ISNUMBER($B169),AND($B169=INT($B169),$B169&gt;=DATE(2000,1,1),$B169&lt;=DATE(2099,12,31)),FALSE()),CHOOSE(WEEKDAY($B169,2),"Monday","Tuesday","Wednesday","Thursday","Friday","Saturday","Sunday"),"")</f>
        <v/>
      </c>
      <c r="G169" s="36" t="str">
        <f aca="false">IF($J169&lt;&gt;1,"",MAX(0,INT((MIN(WinStart+83,$M169)-MAX($K169,$K169+ROUNDUP((WinStart-$K169)/$L169,0)*$L169))/$L169)+1))</f>
        <v/>
      </c>
      <c r="H169" s="37" t="str">
        <f aca="false">IF(AND($A169="",$B169="",$C169="",$D169="",$E169=""),"",IF($I169="","OK","Check details"))</f>
        <v/>
      </c>
      <c r="I169" s="38" t="str">
        <f aca="false">IF(AND($A169="",$B169="",$C169="",$D169="",$E169=""),"",TRIM(IF(TRIM($A169&amp;"")="","Label is missing. ","")&amp;IF($B169="","First visit is missing. ",IF(NOT(ISNUMBER($B169)),"First visit isn't a date (it's text). ",IF($B169&lt;&gt;INT($B169),"First visit has a time; enter a date only. ",IF(OR($B169&lt;DATE(2000,1,1),$B169&gt;DATE(2099,12,31)),"First visit must be from 2000 to 2099. ",""))))&amp;IF($C169="","Repeat every is missing. ",IF(ISNA(MATCH($C169&amp;"",{"Weekly","Every 2 weeks","Every 3 weeks","Every 4 weeks"},0)),"Repeat every must be Weekly or Every 2, 3 or 4 weeks. ",""))&amp;IF($D169="","Visit length is missing. ",IF(NOT(ISNUMBER($D169)),"Visit length must be a number of hours. ",IF($D169&lt;0,"Visit length can't be negative. ",IF($D169=0,"Visit length must be more than 0. ",IF(ABS($D169*100-ROUND($D169*100,0))&gt;0.000001,"Visit length: use up to 2 decimals. ",IF($D169&gt;24,"Visit length: 24 hours or less. ",""))))))&amp;IF($E169="","",IF(NOT(ISNUMBER($E169)),"Last visit isn't a date (it's text). ",IF($E169&lt;&gt;INT($E169),"Last visit has a time; enter a date only. ",IF(OR($E169&lt;DATE(2000,1,1),$E169&gt;DATE(2099,12,31)),"Last visit must be from 2000 to 2099. ",IF(AND(IF(ISNUMBER($B169),AND($B169=INT($B169),$B169&gt;=DATE(2000,1,1),$B169&lt;=DATE(2099,12,31)),FALSE()),$E169&lt;$B169),"Last visit is before the first visit. ","")))))))</f>
        <v/>
      </c>
      <c r="J169" s="39" t="n">
        <f aca="false">IF($H169="OK",1,0)</f>
        <v>0</v>
      </c>
      <c r="K169" s="40" t="n">
        <f aca="false">IF($J169=1,$B169,0)</f>
        <v>0</v>
      </c>
      <c r="L169" s="39" t="n">
        <f aca="false">IF($J169=1,7*MATCH($C169&amp;"",{"Weekly","Every 2 weeks","Every 3 weeks","Every 4 weeks"},0),7)</f>
        <v>7</v>
      </c>
      <c r="M169" s="40" t="n">
        <f aca="false">IF($J169=1,IF($E169="",2958465,$E169),0)</f>
        <v>0</v>
      </c>
      <c r="N169" s="39" t="n">
        <f aca="false">IF($J169=1,ROUND($D169*100,0),0)</f>
        <v>0</v>
      </c>
      <c r="O169" s="40" t="str">
        <f aca="false">IF($J169&lt;&gt;1,"",IF(AND((WeekMon+WEEKDAY($K169,2)-1)&gt;=$K169,MOD((WeekMon+WEEKDAY($K169,2)-1)-$K169,$L169)=0,(WeekMon+WEEKDAY($K169,2)-1)&lt;=$M169),(WeekMon+WEEKDAY($K169,2)-1),""))</f>
        <v/>
      </c>
      <c r="P169" s="39" t="str">
        <f aca="false">IF($O169="","",($O169-WeekMon)*1000+ROW()-11)</f>
        <v/>
      </c>
    </row>
    <row r="170" customFormat="false" ht="15" hidden="false" customHeight="false" outlineLevel="0" collapsed="false">
      <c r="A170" s="33"/>
      <c r="B170" s="34"/>
      <c r="C170" s="33"/>
      <c r="D170" s="35"/>
      <c r="E170" s="34"/>
      <c r="F170" s="36" t="str">
        <f aca="false">IF(IF(ISNUMBER($B170),AND($B170=INT($B170),$B170&gt;=DATE(2000,1,1),$B170&lt;=DATE(2099,12,31)),FALSE()),CHOOSE(WEEKDAY($B170,2),"Monday","Tuesday","Wednesday","Thursday","Friday","Saturday","Sunday"),"")</f>
        <v/>
      </c>
      <c r="G170" s="36" t="str">
        <f aca="false">IF($J170&lt;&gt;1,"",MAX(0,INT((MIN(WinStart+83,$M170)-MAX($K170,$K170+ROUNDUP((WinStart-$K170)/$L170,0)*$L170))/$L170)+1))</f>
        <v/>
      </c>
      <c r="H170" s="37" t="str">
        <f aca="false">IF(AND($A170="",$B170="",$C170="",$D170="",$E170=""),"",IF($I170="","OK","Check details"))</f>
        <v/>
      </c>
      <c r="I170" s="38" t="str">
        <f aca="false">IF(AND($A170="",$B170="",$C170="",$D170="",$E170=""),"",TRIM(IF(TRIM($A170&amp;"")="","Label is missing. ","")&amp;IF($B170="","First visit is missing. ",IF(NOT(ISNUMBER($B170)),"First visit isn't a date (it's text). ",IF($B170&lt;&gt;INT($B170),"First visit has a time; enter a date only. ",IF(OR($B170&lt;DATE(2000,1,1),$B170&gt;DATE(2099,12,31)),"First visit must be from 2000 to 2099. ",""))))&amp;IF($C170="","Repeat every is missing. ",IF(ISNA(MATCH($C170&amp;"",{"Weekly","Every 2 weeks","Every 3 weeks","Every 4 weeks"},0)),"Repeat every must be Weekly or Every 2, 3 or 4 weeks. ",""))&amp;IF($D170="","Visit length is missing. ",IF(NOT(ISNUMBER($D170)),"Visit length must be a number of hours. ",IF($D170&lt;0,"Visit length can't be negative. ",IF($D170=0,"Visit length must be more than 0. ",IF(ABS($D170*100-ROUND($D170*100,0))&gt;0.000001,"Visit length: use up to 2 decimals. ",IF($D170&gt;24,"Visit length: 24 hours or less. ",""))))))&amp;IF($E170="","",IF(NOT(ISNUMBER($E170)),"Last visit isn't a date (it's text). ",IF($E170&lt;&gt;INT($E170),"Last visit has a time; enter a date only. ",IF(OR($E170&lt;DATE(2000,1,1),$E170&gt;DATE(2099,12,31)),"Last visit must be from 2000 to 2099. ",IF(AND(IF(ISNUMBER($B170),AND($B170=INT($B170),$B170&gt;=DATE(2000,1,1),$B170&lt;=DATE(2099,12,31)),FALSE()),$E170&lt;$B170),"Last visit is before the first visit. ","")))))))</f>
        <v/>
      </c>
      <c r="J170" s="39" t="n">
        <f aca="false">IF($H170="OK",1,0)</f>
        <v>0</v>
      </c>
      <c r="K170" s="40" t="n">
        <f aca="false">IF($J170=1,$B170,0)</f>
        <v>0</v>
      </c>
      <c r="L170" s="39" t="n">
        <f aca="false">IF($J170=1,7*MATCH($C170&amp;"",{"Weekly","Every 2 weeks","Every 3 weeks","Every 4 weeks"},0),7)</f>
        <v>7</v>
      </c>
      <c r="M170" s="40" t="n">
        <f aca="false">IF($J170=1,IF($E170="",2958465,$E170),0)</f>
        <v>0</v>
      </c>
      <c r="N170" s="39" t="n">
        <f aca="false">IF($J170=1,ROUND($D170*100,0),0)</f>
        <v>0</v>
      </c>
      <c r="O170" s="40" t="str">
        <f aca="false">IF($J170&lt;&gt;1,"",IF(AND((WeekMon+WEEKDAY($K170,2)-1)&gt;=$K170,MOD((WeekMon+WEEKDAY($K170,2)-1)-$K170,$L170)=0,(WeekMon+WEEKDAY($K170,2)-1)&lt;=$M170),(WeekMon+WEEKDAY($K170,2)-1),""))</f>
        <v/>
      </c>
      <c r="P170" s="39" t="str">
        <f aca="false">IF($O170="","",($O170-WeekMon)*1000+ROW()-11)</f>
        <v/>
      </c>
    </row>
    <row r="171" customFormat="false" ht="15" hidden="false" customHeight="false" outlineLevel="0" collapsed="false">
      <c r="A171" s="33"/>
      <c r="B171" s="34"/>
      <c r="C171" s="33"/>
      <c r="D171" s="35"/>
      <c r="E171" s="34"/>
      <c r="F171" s="36" t="str">
        <f aca="false">IF(IF(ISNUMBER($B171),AND($B171=INT($B171),$B171&gt;=DATE(2000,1,1),$B171&lt;=DATE(2099,12,31)),FALSE()),CHOOSE(WEEKDAY($B171,2),"Monday","Tuesday","Wednesday","Thursday","Friday","Saturday","Sunday"),"")</f>
        <v/>
      </c>
      <c r="G171" s="36" t="str">
        <f aca="false">IF($J171&lt;&gt;1,"",MAX(0,INT((MIN(WinStart+83,$M171)-MAX($K171,$K171+ROUNDUP((WinStart-$K171)/$L171,0)*$L171))/$L171)+1))</f>
        <v/>
      </c>
      <c r="H171" s="37" t="str">
        <f aca="false">IF(AND($A171="",$B171="",$C171="",$D171="",$E171=""),"",IF($I171="","OK","Check details"))</f>
        <v/>
      </c>
      <c r="I171" s="38" t="str">
        <f aca="false">IF(AND($A171="",$B171="",$C171="",$D171="",$E171=""),"",TRIM(IF(TRIM($A171&amp;"")="","Label is missing. ","")&amp;IF($B171="","First visit is missing. ",IF(NOT(ISNUMBER($B171)),"First visit isn't a date (it's text). ",IF($B171&lt;&gt;INT($B171),"First visit has a time; enter a date only. ",IF(OR($B171&lt;DATE(2000,1,1),$B171&gt;DATE(2099,12,31)),"First visit must be from 2000 to 2099. ",""))))&amp;IF($C171="","Repeat every is missing. ",IF(ISNA(MATCH($C171&amp;"",{"Weekly","Every 2 weeks","Every 3 weeks","Every 4 weeks"},0)),"Repeat every must be Weekly or Every 2, 3 or 4 weeks. ",""))&amp;IF($D171="","Visit length is missing. ",IF(NOT(ISNUMBER($D171)),"Visit length must be a number of hours. ",IF($D171&lt;0,"Visit length can't be negative. ",IF($D171=0,"Visit length must be more than 0. ",IF(ABS($D171*100-ROUND($D171*100,0))&gt;0.000001,"Visit length: use up to 2 decimals. ",IF($D171&gt;24,"Visit length: 24 hours or less. ",""))))))&amp;IF($E171="","",IF(NOT(ISNUMBER($E171)),"Last visit isn't a date (it's text). ",IF($E171&lt;&gt;INT($E171),"Last visit has a time; enter a date only. ",IF(OR($E171&lt;DATE(2000,1,1),$E171&gt;DATE(2099,12,31)),"Last visit must be from 2000 to 2099. ",IF(AND(IF(ISNUMBER($B171),AND($B171=INT($B171),$B171&gt;=DATE(2000,1,1),$B171&lt;=DATE(2099,12,31)),FALSE()),$E171&lt;$B171),"Last visit is before the first visit. ","")))))))</f>
        <v/>
      </c>
      <c r="J171" s="39" t="n">
        <f aca="false">IF($H171="OK",1,0)</f>
        <v>0</v>
      </c>
      <c r="K171" s="40" t="n">
        <f aca="false">IF($J171=1,$B171,0)</f>
        <v>0</v>
      </c>
      <c r="L171" s="39" t="n">
        <f aca="false">IF($J171=1,7*MATCH($C171&amp;"",{"Weekly","Every 2 weeks","Every 3 weeks","Every 4 weeks"},0),7)</f>
        <v>7</v>
      </c>
      <c r="M171" s="40" t="n">
        <f aca="false">IF($J171=1,IF($E171="",2958465,$E171),0)</f>
        <v>0</v>
      </c>
      <c r="N171" s="39" t="n">
        <f aca="false">IF($J171=1,ROUND($D171*100,0),0)</f>
        <v>0</v>
      </c>
      <c r="O171" s="40" t="str">
        <f aca="false">IF($J171&lt;&gt;1,"",IF(AND((WeekMon+WEEKDAY($K171,2)-1)&gt;=$K171,MOD((WeekMon+WEEKDAY($K171,2)-1)-$K171,$L171)=0,(WeekMon+WEEKDAY($K171,2)-1)&lt;=$M171),(WeekMon+WEEKDAY($K171,2)-1),""))</f>
        <v/>
      </c>
      <c r="P171" s="39" t="str">
        <f aca="false">IF($O171="","",($O171-WeekMon)*1000+ROW()-11)</f>
        <v/>
      </c>
    </row>
    <row r="172" customFormat="false" ht="15" hidden="false" customHeight="false" outlineLevel="0" collapsed="false">
      <c r="A172" s="33"/>
      <c r="B172" s="34"/>
      <c r="C172" s="33"/>
      <c r="D172" s="35"/>
      <c r="E172" s="34"/>
      <c r="F172" s="36" t="str">
        <f aca="false">IF(IF(ISNUMBER($B172),AND($B172=INT($B172),$B172&gt;=DATE(2000,1,1),$B172&lt;=DATE(2099,12,31)),FALSE()),CHOOSE(WEEKDAY($B172,2),"Monday","Tuesday","Wednesday","Thursday","Friday","Saturday","Sunday"),"")</f>
        <v/>
      </c>
      <c r="G172" s="36" t="str">
        <f aca="false">IF($J172&lt;&gt;1,"",MAX(0,INT((MIN(WinStart+83,$M172)-MAX($K172,$K172+ROUNDUP((WinStart-$K172)/$L172,0)*$L172))/$L172)+1))</f>
        <v/>
      </c>
      <c r="H172" s="37" t="str">
        <f aca="false">IF(AND($A172="",$B172="",$C172="",$D172="",$E172=""),"",IF($I172="","OK","Check details"))</f>
        <v/>
      </c>
      <c r="I172" s="38" t="str">
        <f aca="false">IF(AND($A172="",$B172="",$C172="",$D172="",$E172=""),"",TRIM(IF(TRIM($A172&amp;"")="","Label is missing. ","")&amp;IF($B172="","First visit is missing. ",IF(NOT(ISNUMBER($B172)),"First visit isn't a date (it's text). ",IF($B172&lt;&gt;INT($B172),"First visit has a time; enter a date only. ",IF(OR($B172&lt;DATE(2000,1,1),$B172&gt;DATE(2099,12,31)),"First visit must be from 2000 to 2099. ",""))))&amp;IF($C172="","Repeat every is missing. ",IF(ISNA(MATCH($C172&amp;"",{"Weekly","Every 2 weeks","Every 3 weeks","Every 4 weeks"},0)),"Repeat every must be Weekly or Every 2, 3 or 4 weeks. ",""))&amp;IF($D172="","Visit length is missing. ",IF(NOT(ISNUMBER($D172)),"Visit length must be a number of hours. ",IF($D172&lt;0,"Visit length can't be negative. ",IF($D172=0,"Visit length must be more than 0. ",IF(ABS($D172*100-ROUND($D172*100,0))&gt;0.000001,"Visit length: use up to 2 decimals. ",IF($D172&gt;24,"Visit length: 24 hours or less. ",""))))))&amp;IF($E172="","",IF(NOT(ISNUMBER($E172)),"Last visit isn't a date (it's text). ",IF($E172&lt;&gt;INT($E172),"Last visit has a time; enter a date only. ",IF(OR($E172&lt;DATE(2000,1,1),$E172&gt;DATE(2099,12,31)),"Last visit must be from 2000 to 2099. ",IF(AND(IF(ISNUMBER($B172),AND($B172=INT($B172),$B172&gt;=DATE(2000,1,1),$B172&lt;=DATE(2099,12,31)),FALSE()),$E172&lt;$B172),"Last visit is before the first visit. ","")))))))</f>
        <v/>
      </c>
      <c r="J172" s="39" t="n">
        <f aca="false">IF($H172="OK",1,0)</f>
        <v>0</v>
      </c>
      <c r="K172" s="40" t="n">
        <f aca="false">IF($J172=1,$B172,0)</f>
        <v>0</v>
      </c>
      <c r="L172" s="39" t="n">
        <f aca="false">IF($J172=1,7*MATCH($C172&amp;"",{"Weekly","Every 2 weeks","Every 3 weeks","Every 4 weeks"},0),7)</f>
        <v>7</v>
      </c>
      <c r="M172" s="40" t="n">
        <f aca="false">IF($J172=1,IF($E172="",2958465,$E172),0)</f>
        <v>0</v>
      </c>
      <c r="N172" s="39" t="n">
        <f aca="false">IF($J172=1,ROUND($D172*100,0),0)</f>
        <v>0</v>
      </c>
      <c r="O172" s="40" t="str">
        <f aca="false">IF($J172&lt;&gt;1,"",IF(AND((WeekMon+WEEKDAY($K172,2)-1)&gt;=$K172,MOD((WeekMon+WEEKDAY($K172,2)-1)-$K172,$L172)=0,(WeekMon+WEEKDAY($K172,2)-1)&lt;=$M172),(WeekMon+WEEKDAY($K172,2)-1),""))</f>
        <v/>
      </c>
      <c r="P172" s="39" t="str">
        <f aca="false">IF($O172="","",($O172-WeekMon)*1000+ROW()-11)</f>
        <v/>
      </c>
    </row>
    <row r="173" customFormat="false" ht="15" hidden="false" customHeight="false" outlineLevel="0" collapsed="false">
      <c r="A173" s="33"/>
      <c r="B173" s="34"/>
      <c r="C173" s="33"/>
      <c r="D173" s="35"/>
      <c r="E173" s="34"/>
      <c r="F173" s="36" t="str">
        <f aca="false">IF(IF(ISNUMBER($B173),AND($B173=INT($B173),$B173&gt;=DATE(2000,1,1),$B173&lt;=DATE(2099,12,31)),FALSE()),CHOOSE(WEEKDAY($B173,2),"Monday","Tuesday","Wednesday","Thursday","Friday","Saturday","Sunday"),"")</f>
        <v/>
      </c>
      <c r="G173" s="36" t="str">
        <f aca="false">IF($J173&lt;&gt;1,"",MAX(0,INT((MIN(WinStart+83,$M173)-MAX($K173,$K173+ROUNDUP((WinStart-$K173)/$L173,0)*$L173))/$L173)+1))</f>
        <v/>
      </c>
      <c r="H173" s="37" t="str">
        <f aca="false">IF(AND($A173="",$B173="",$C173="",$D173="",$E173=""),"",IF($I173="","OK","Check details"))</f>
        <v/>
      </c>
      <c r="I173" s="38" t="str">
        <f aca="false">IF(AND($A173="",$B173="",$C173="",$D173="",$E173=""),"",TRIM(IF(TRIM($A173&amp;"")="","Label is missing. ","")&amp;IF($B173="","First visit is missing. ",IF(NOT(ISNUMBER($B173)),"First visit isn't a date (it's text). ",IF($B173&lt;&gt;INT($B173),"First visit has a time; enter a date only. ",IF(OR($B173&lt;DATE(2000,1,1),$B173&gt;DATE(2099,12,31)),"First visit must be from 2000 to 2099. ",""))))&amp;IF($C173="","Repeat every is missing. ",IF(ISNA(MATCH($C173&amp;"",{"Weekly","Every 2 weeks","Every 3 weeks","Every 4 weeks"},0)),"Repeat every must be Weekly or Every 2, 3 or 4 weeks. ",""))&amp;IF($D173="","Visit length is missing. ",IF(NOT(ISNUMBER($D173)),"Visit length must be a number of hours. ",IF($D173&lt;0,"Visit length can't be negative. ",IF($D173=0,"Visit length must be more than 0. ",IF(ABS($D173*100-ROUND($D173*100,0))&gt;0.000001,"Visit length: use up to 2 decimals. ",IF($D173&gt;24,"Visit length: 24 hours or less. ",""))))))&amp;IF($E173="","",IF(NOT(ISNUMBER($E173)),"Last visit isn't a date (it's text). ",IF($E173&lt;&gt;INT($E173),"Last visit has a time; enter a date only. ",IF(OR($E173&lt;DATE(2000,1,1),$E173&gt;DATE(2099,12,31)),"Last visit must be from 2000 to 2099. ",IF(AND(IF(ISNUMBER($B173),AND($B173=INT($B173),$B173&gt;=DATE(2000,1,1),$B173&lt;=DATE(2099,12,31)),FALSE()),$E173&lt;$B173),"Last visit is before the first visit. ","")))))))</f>
        <v/>
      </c>
      <c r="J173" s="39" t="n">
        <f aca="false">IF($H173="OK",1,0)</f>
        <v>0</v>
      </c>
      <c r="K173" s="40" t="n">
        <f aca="false">IF($J173=1,$B173,0)</f>
        <v>0</v>
      </c>
      <c r="L173" s="39" t="n">
        <f aca="false">IF($J173=1,7*MATCH($C173&amp;"",{"Weekly","Every 2 weeks","Every 3 weeks","Every 4 weeks"},0),7)</f>
        <v>7</v>
      </c>
      <c r="M173" s="40" t="n">
        <f aca="false">IF($J173=1,IF($E173="",2958465,$E173),0)</f>
        <v>0</v>
      </c>
      <c r="N173" s="39" t="n">
        <f aca="false">IF($J173=1,ROUND($D173*100,0),0)</f>
        <v>0</v>
      </c>
      <c r="O173" s="40" t="str">
        <f aca="false">IF($J173&lt;&gt;1,"",IF(AND((WeekMon+WEEKDAY($K173,2)-1)&gt;=$K173,MOD((WeekMon+WEEKDAY($K173,2)-1)-$K173,$L173)=0,(WeekMon+WEEKDAY($K173,2)-1)&lt;=$M173),(WeekMon+WEEKDAY($K173,2)-1),""))</f>
        <v/>
      </c>
      <c r="P173" s="39" t="str">
        <f aca="false">IF($O173="","",($O173-WeekMon)*1000+ROW()-11)</f>
        <v/>
      </c>
    </row>
    <row r="174" customFormat="false" ht="15" hidden="false" customHeight="false" outlineLevel="0" collapsed="false">
      <c r="A174" s="33"/>
      <c r="B174" s="34"/>
      <c r="C174" s="33"/>
      <c r="D174" s="35"/>
      <c r="E174" s="34"/>
      <c r="F174" s="36" t="str">
        <f aca="false">IF(IF(ISNUMBER($B174),AND($B174=INT($B174),$B174&gt;=DATE(2000,1,1),$B174&lt;=DATE(2099,12,31)),FALSE()),CHOOSE(WEEKDAY($B174,2),"Monday","Tuesday","Wednesday","Thursday","Friday","Saturday","Sunday"),"")</f>
        <v/>
      </c>
      <c r="G174" s="36" t="str">
        <f aca="false">IF($J174&lt;&gt;1,"",MAX(0,INT((MIN(WinStart+83,$M174)-MAX($K174,$K174+ROUNDUP((WinStart-$K174)/$L174,0)*$L174))/$L174)+1))</f>
        <v/>
      </c>
      <c r="H174" s="37" t="str">
        <f aca="false">IF(AND($A174="",$B174="",$C174="",$D174="",$E174=""),"",IF($I174="","OK","Check details"))</f>
        <v/>
      </c>
      <c r="I174" s="38" t="str">
        <f aca="false">IF(AND($A174="",$B174="",$C174="",$D174="",$E174=""),"",TRIM(IF(TRIM($A174&amp;"")="","Label is missing. ","")&amp;IF($B174="","First visit is missing. ",IF(NOT(ISNUMBER($B174)),"First visit isn't a date (it's text). ",IF($B174&lt;&gt;INT($B174),"First visit has a time; enter a date only. ",IF(OR($B174&lt;DATE(2000,1,1),$B174&gt;DATE(2099,12,31)),"First visit must be from 2000 to 2099. ",""))))&amp;IF($C174="","Repeat every is missing. ",IF(ISNA(MATCH($C174&amp;"",{"Weekly","Every 2 weeks","Every 3 weeks","Every 4 weeks"},0)),"Repeat every must be Weekly or Every 2, 3 or 4 weeks. ",""))&amp;IF($D174="","Visit length is missing. ",IF(NOT(ISNUMBER($D174)),"Visit length must be a number of hours. ",IF($D174&lt;0,"Visit length can't be negative. ",IF($D174=0,"Visit length must be more than 0. ",IF(ABS($D174*100-ROUND($D174*100,0))&gt;0.000001,"Visit length: use up to 2 decimals. ",IF($D174&gt;24,"Visit length: 24 hours or less. ",""))))))&amp;IF($E174="","",IF(NOT(ISNUMBER($E174)),"Last visit isn't a date (it's text). ",IF($E174&lt;&gt;INT($E174),"Last visit has a time; enter a date only. ",IF(OR($E174&lt;DATE(2000,1,1),$E174&gt;DATE(2099,12,31)),"Last visit must be from 2000 to 2099. ",IF(AND(IF(ISNUMBER($B174),AND($B174=INT($B174),$B174&gt;=DATE(2000,1,1),$B174&lt;=DATE(2099,12,31)),FALSE()),$E174&lt;$B174),"Last visit is before the first visit. ","")))))))</f>
        <v/>
      </c>
      <c r="J174" s="39" t="n">
        <f aca="false">IF($H174="OK",1,0)</f>
        <v>0</v>
      </c>
      <c r="K174" s="40" t="n">
        <f aca="false">IF($J174=1,$B174,0)</f>
        <v>0</v>
      </c>
      <c r="L174" s="39" t="n">
        <f aca="false">IF($J174=1,7*MATCH($C174&amp;"",{"Weekly","Every 2 weeks","Every 3 weeks","Every 4 weeks"},0),7)</f>
        <v>7</v>
      </c>
      <c r="M174" s="40" t="n">
        <f aca="false">IF($J174=1,IF($E174="",2958465,$E174),0)</f>
        <v>0</v>
      </c>
      <c r="N174" s="39" t="n">
        <f aca="false">IF($J174=1,ROUND($D174*100,0),0)</f>
        <v>0</v>
      </c>
      <c r="O174" s="40" t="str">
        <f aca="false">IF($J174&lt;&gt;1,"",IF(AND((WeekMon+WEEKDAY($K174,2)-1)&gt;=$K174,MOD((WeekMon+WEEKDAY($K174,2)-1)-$K174,$L174)=0,(WeekMon+WEEKDAY($K174,2)-1)&lt;=$M174),(WeekMon+WEEKDAY($K174,2)-1),""))</f>
        <v/>
      </c>
      <c r="P174" s="39" t="str">
        <f aca="false">IF($O174="","",($O174-WeekMon)*1000+ROW()-11)</f>
        <v/>
      </c>
    </row>
    <row r="175" customFormat="false" ht="15" hidden="false" customHeight="false" outlineLevel="0" collapsed="false">
      <c r="A175" s="33"/>
      <c r="B175" s="34"/>
      <c r="C175" s="33"/>
      <c r="D175" s="35"/>
      <c r="E175" s="34"/>
      <c r="F175" s="36" t="str">
        <f aca="false">IF(IF(ISNUMBER($B175),AND($B175=INT($B175),$B175&gt;=DATE(2000,1,1),$B175&lt;=DATE(2099,12,31)),FALSE()),CHOOSE(WEEKDAY($B175,2),"Monday","Tuesday","Wednesday","Thursday","Friday","Saturday","Sunday"),"")</f>
        <v/>
      </c>
      <c r="G175" s="36" t="str">
        <f aca="false">IF($J175&lt;&gt;1,"",MAX(0,INT((MIN(WinStart+83,$M175)-MAX($K175,$K175+ROUNDUP((WinStart-$K175)/$L175,0)*$L175))/$L175)+1))</f>
        <v/>
      </c>
      <c r="H175" s="37" t="str">
        <f aca="false">IF(AND($A175="",$B175="",$C175="",$D175="",$E175=""),"",IF($I175="","OK","Check details"))</f>
        <v/>
      </c>
      <c r="I175" s="38" t="str">
        <f aca="false">IF(AND($A175="",$B175="",$C175="",$D175="",$E175=""),"",TRIM(IF(TRIM($A175&amp;"")="","Label is missing. ","")&amp;IF($B175="","First visit is missing. ",IF(NOT(ISNUMBER($B175)),"First visit isn't a date (it's text). ",IF($B175&lt;&gt;INT($B175),"First visit has a time; enter a date only. ",IF(OR($B175&lt;DATE(2000,1,1),$B175&gt;DATE(2099,12,31)),"First visit must be from 2000 to 2099. ",""))))&amp;IF($C175="","Repeat every is missing. ",IF(ISNA(MATCH($C175&amp;"",{"Weekly","Every 2 weeks","Every 3 weeks","Every 4 weeks"},0)),"Repeat every must be Weekly or Every 2, 3 or 4 weeks. ",""))&amp;IF($D175="","Visit length is missing. ",IF(NOT(ISNUMBER($D175)),"Visit length must be a number of hours. ",IF($D175&lt;0,"Visit length can't be negative. ",IF($D175=0,"Visit length must be more than 0. ",IF(ABS($D175*100-ROUND($D175*100,0))&gt;0.000001,"Visit length: use up to 2 decimals. ",IF($D175&gt;24,"Visit length: 24 hours or less. ",""))))))&amp;IF($E175="","",IF(NOT(ISNUMBER($E175)),"Last visit isn't a date (it's text). ",IF($E175&lt;&gt;INT($E175),"Last visit has a time; enter a date only. ",IF(OR($E175&lt;DATE(2000,1,1),$E175&gt;DATE(2099,12,31)),"Last visit must be from 2000 to 2099. ",IF(AND(IF(ISNUMBER($B175),AND($B175=INT($B175),$B175&gt;=DATE(2000,1,1),$B175&lt;=DATE(2099,12,31)),FALSE()),$E175&lt;$B175),"Last visit is before the first visit. ","")))))))</f>
        <v/>
      </c>
      <c r="J175" s="39" t="n">
        <f aca="false">IF($H175="OK",1,0)</f>
        <v>0</v>
      </c>
      <c r="K175" s="40" t="n">
        <f aca="false">IF($J175=1,$B175,0)</f>
        <v>0</v>
      </c>
      <c r="L175" s="39" t="n">
        <f aca="false">IF($J175=1,7*MATCH($C175&amp;"",{"Weekly","Every 2 weeks","Every 3 weeks","Every 4 weeks"},0),7)</f>
        <v>7</v>
      </c>
      <c r="M175" s="40" t="n">
        <f aca="false">IF($J175=1,IF($E175="",2958465,$E175),0)</f>
        <v>0</v>
      </c>
      <c r="N175" s="39" t="n">
        <f aca="false">IF($J175=1,ROUND($D175*100,0),0)</f>
        <v>0</v>
      </c>
      <c r="O175" s="40" t="str">
        <f aca="false">IF($J175&lt;&gt;1,"",IF(AND((WeekMon+WEEKDAY($K175,2)-1)&gt;=$K175,MOD((WeekMon+WEEKDAY($K175,2)-1)-$K175,$L175)=0,(WeekMon+WEEKDAY($K175,2)-1)&lt;=$M175),(WeekMon+WEEKDAY($K175,2)-1),""))</f>
        <v/>
      </c>
      <c r="P175" s="39" t="str">
        <f aca="false">IF($O175="","",($O175-WeekMon)*1000+ROW()-11)</f>
        <v/>
      </c>
    </row>
    <row r="176" customFormat="false" ht="15" hidden="false" customHeight="false" outlineLevel="0" collapsed="false">
      <c r="A176" s="33"/>
      <c r="B176" s="34"/>
      <c r="C176" s="33"/>
      <c r="D176" s="35"/>
      <c r="E176" s="34"/>
      <c r="F176" s="36" t="str">
        <f aca="false">IF(IF(ISNUMBER($B176),AND($B176=INT($B176),$B176&gt;=DATE(2000,1,1),$B176&lt;=DATE(2099,12,31)),FALSE()),CHOOSE(WEEKDAY($B176,2),"Monday","Tuesday","Wednesday","Thursday","Friday","Saturday","Sunday"),"")</f>
        <v/>
      </c>
      <c r="G176" s="36" t="str">
        <f aca="false">IF($J176&lt;&gt;1,"",MAX(0,INT((MIN(WinStart+83,$M176)-MAX($K176,$K176+ROUNDUP((WinStart-$K176)/$L176,0)*$L176))/$L176)+1))</f>
        <v/>
      </c>
      <c r="H176" s="37" t="str">
        <f aca="false">IF(AND($A176="",$B176="",$C176="",$D176="",$E176=""),"",IF($I176="","OK","Check details"))</f>
        <v/>
      </c>
      <c r="I176" s="38" t="str">
        <f aca="false">IF(AND($A176="",$B176="",$C176="",$D176="",$E176=""),"",TRIM(IF(TRIM($A176&amp;"")="","Label is missing. ","")&amp;IF($B176="","First visit is missing. ",IF(NOT(ISNUMBER($B176)),"First visit isn't a date (it's text). ",IF($B176&lt;&gt;INT($B176),"First visit has a time; enter a date only. ",IF(OR($B176&lt;DATE(2000,1,1),$B176&gt;DATE(2099,12,31)),"First visit must be from 2000 to 2099. ",""))))&amp;IF($C176="","Repeat every is missing. ",IF(ISNA(MATCH($C176&amp;"",{"Weekly","Every 2 weeks","Every 3 weeks","Every 4 weeks"},0)),"Repeat every must be Weekly or Every 2, 3 or 4 weeks. ",""))&amp;IF($D176="","Visit length is missing. ",IF(NOT(ISNUMBER($D176)),"Visit length must be a number of hours. ",IF($D176&lt;0,"Visit length can't be negative. ",IF($D176=0,"Visit length must be more than 0. ",IF(ABS($D176*100-ROUND($D176*100,0))&gt;0.000001,"Visit length: use up to 2 decimals. ",IF($D176&gt;24,"Visit length: 24 hours or less. ",""))))))&amp;IF($E176="","",IF(NOT(ISNUMBER($E176)),"Last visit isn't a date (it's text). ",IF($E176&lt;&gt;INT($E176),"Last visit has a time; enter a date only. ",IF(OR($E176&lt;DATE(2000,1,1),$E176&gt;DATE(2099,12,31)),"Last visit must be from 2000 to 2099. ",IF(AND(IF(ISNUMBER($B176),AND($B176=INT($B176),$B176&gt;=DATE(2000,1,1),$B176&lt;=DATE(2099,12,31)),FALSE()),$E176&lt;$B176),"Last visit is before the first visit. ","")))))))</f>
        <v/>
      </c>
      <c r="J176" s="39" t="n">
        <f aca="false">IF($H176="OK",1,0)</f>
        <v>0</v>
      </c>
      <c r="K176" s="40" t="n">
        <f aca="false">IF($J176=1,$B176,0)</f>
        <v>0</v>
      </c>
      <c r="L176" s="39" t="n">
        <f aca="false">IF($J176=1,7*MATCH($C176&amp;"",{"Weekly","Every 2 weeks","Every 3 weeks","Every 4 weeks"},0),7)</f>
        <v>7</v>
      </c>
      <c r="M176" s="40" t="n">
        <f aca="false">IF($J176=1,IF($E176="",2958465,$E176),0)</f>
        <v>0</v>
      </c>
      <c r="N176" s="39" t="n">
        <f aca="false">IF($J176=1,ROUND($D176*100,0),0)</f>
        <v>0</v>
      </c>
      <c r="O176" s="40" t="str">
        <f aca="false">IF($J176&lt;&gt;1,"",IF(AND((WeekMon+WEEKDAY($K176,2)-1)&gt;=$K176,MOD((WeekMon+WEEKDAY($K176,2)-1)-$K176,$L176)=0,(WeekMon+WEEKDAY($K176,2)-1)&lt;=$M176),(WeekMon+WEEKDAY($K176,2)-1),""))</f>
        <v/>
      </c>
      <c r="P176" s="39" t="str">
        <f aca="false">IF($O176="","",($O176-WeekMon)*1000+ROW()-11)</f>
        <v/>
      </c>
    </row>
    <row r="177" customFormat="false" ht="15" hidden="false" customHeight="false" outlineLevel="0" collapsed="false">
      <c r="A177" s="33"/>
      <c r="B177" s="34"/>
      <c r="C177" s="33"/>
      <c r="D177" s="35"/>
      <c r="E177" s="34"/>
      <c r="F177" s="36" t="str">
        <f aca="false">IF(IF(ISNUMBER($B177),AND($B177=INT($B177),$B177&gt;=DATE(2000,1,1),$B177&lt;=DATE(2099,12,31)),FALSE()),CHOOSE(WEEKDAY($B177,2),"Monday","Tuesday","Wednesday","Thursday","Friday","Saturday","Sunday"),"")</f>
        <v/>
      </c>
      <c r="G177" s="36" t="str">
        <f aca="false">IF($J177&lt;&gt;1,"",MAX(0,INT((MIN(WinStart+83,$M177)-MAX($K177,$K177+ROUNDUP((WinStart-$K177)/$L177,0)*$L177))/$L177)+1))</f>
        <v/>
      </c>
      <c r="H177" s="37" t="str">
        <f aca="false">IF(AND($A177="",$B177="",$C177="",$D177="",$E177=""),"",IF($I177="","OK","Check details"))</f>
        <v/>
      </c>
      <c r="I177" s="38" t="str">
        <f aca="false">IF(AND($A177="",$B177="",$C177="",$D177="",$E177=""),"",TRIM(IF(TRIM($A177&amp;"")="","Label is missing. ","")&amp;IF($B177="","First visit is missing. ",IF(NOT(ISNUMBER($B177)),"First visit isn't a date (it's text). ",IF($B177&lt;&gt;INT($B177),"First visit has a time; enter a date only. ",IF(OR($B177&lt;DATE(2000,1,1),$B177&gt;DATE(2099,12,31)),"First visit must be from 2000 to 2099. ",""))))&amp;IF($C177="","Repeat every is missing. ",IF(ISNA(MATCH($C177&amp;"",{"Weekly","Every 2 weeks","Every 3 weeks","Every 4 weeks"},0)),"Repeat every must be Weekly or Every 2, 3 or 4 weeks. ",""))&amp;IF($D177="","Visit length is missing. ",IF(NOT(ISNUMBER($D177)),"Visit length must be a number of hours. ",IF($D177&lt;0,"Visit length can't be negative. ",IF($D177=0,"Visit length must be more than 0. ",IF(ABS($D177*100-ROUND($D177*100,0))&gt;0.000001,"Visit length: use up to 2 decimals. ",IF($D177&gt;24,"Visit length: 24 hours or less. ",""))))))&amp;IF($E177="","",IF(NOT(ISNUMBER($E177)),"Last visit isn't a date (it's text). ",IF($E177&lt;&gt;INT($E177),"Last visit has a time; enter a date only. ",IF(OR($E177&lt;DATE(2000,1,1),$E177&gt;DATE(2099,12,31)),"Last visit must be from 2000 to 2099. ",IF(AND(IF(ISNUMBER($B177),AND($B177=INT($B177),$B177&gt;=DATE(2000,1,1),$B177&lt;=DATE(2099,12,31)),FALSE()),$E177&lt;$B177),"Last visit is before the first visit. ","")))))))</f>
        <v/>
      </c>
      <c r="J177" s="39" t="n">
        <f aca="false">IF($H177="OK",1,0)</f>
        <v>0</v>
      </c>
      <c r="K177" s="40" t="n">
        <f aca="false">IF($J177=1,$B177,0)</f>
        <v>0</v>
      </c>
      <c r="L177" s="39" t="n">
        <f aca="false">IF($J177=1,7*MATCH($C177&amp;"",{"Weekly","Every 2 weeks","Every 3 weeks","Every 4 weeks"},0),7)</f>
        <v>7</v>
      </c>
      <c r="M177" s="40" t="n">
        <f aca="false">IF($J177=1,IF($E177="",2958465,$E177),0)</f>
        <v>0</v>
      </c>
      <c r="N177" s="39" t="n">
        <f aca="false">IF($J177=1,ROUND($D177*100,0),0)</f>
        <v>0</v>
      </c>
      <c r="O177" s="40" t="str">
        <f aca="false">IF($J177&lt;&gt;1,"",IF(AND((WeekMon+WEEKDAY($K177,2)-1)&gt;=$K177,MOD((WeekMon+WEEKDAY($K177,2)-1)-$K177,$L177)=0,(WeekMon+WEEKDAY($K177,2)-1)&lt;=$M177),(WeekMon+WEEKDAY($K177,2)-1),""))</f>
        <v/>
      </c>
      <c r="P177" s="39" t="str">
        <f aca="false">IF($O177="","",($O177-WeekMon)*1000+ROW()-11)</f>
        <v/>
      </c>
    </row>
    <row r="178" customFormat="false" ht="15" hidden="false" customHeight="false" outlineLevel="0" collapsed="false">
      <c r="A178" s="33"/>
      <c r="B178" s="34"/>
      <c r="C178" s="33"/>
      <c r="D178" s="35"/>
      <c r="E178" s="34"/>
      <c r="F178" s="36" t="str">
        <f aca="false">IF(IF(ISNUMBER($B178),AND($B178=INT($B178),$B178&gt;=DATE(2000,1,1),$B178&lt;=DATE(2099,12,31)),FALSE()),CHOOSE(WEEKDAY($B178,2),"Monday","Tuesday","Wednesday","Thursday","Friday","Saturday","Sunday"),"")</f>
        <v/>
      </c>
      <c r="G178" s="36" t="str">
        <f aca="false">IF($J178&lt;&gt;1,"",MAX(0,INT((MIN(WinStart+83,$M178)-MAX($K178,$K178+ROUNDUP((WinStart-$K178)/$L178,0)*$L178))/$L178)+1))</f>
        <v/>
      </c>
      <c r="H178" s="37" t="str">
        <f aca="false">IF(AND($A178="",$B178="",$C178="",$D178="",$E178=""),"",IF($I178="","OK","Check details"))</f>
        <v/>
      </c>
      <c r="I178" s="38" t="str">
        <f aca="false">IF(AND($A178="",$B178="",$C178="",$D178="",$E178=""),"",TRIM(IF(TRIM($A178&amp;"")="","Label is missing. ","")&amp;IF($B178="","First visit is missing. ",IF(NOT(ISNUMBER($B178)),"First visit isn't a date (it's text). ",IF($B178&lt;&gt;INT($B178),"First visit has a time; enter a date only. ",IF(OR($B178&lt;DATE(2000,1,1),$B178&gt;DATE(2099,12,31)),"First visit must be from 2000 to 2099. ",""))))&amp;IF($C178="","Repeat every is missing. ",IF(ISNA(MATCH($C178&amp;"",{"Weekly","Every 2 weeks","Every 3 weeks","Every 4 weeks"},0)),"Repeat every must be Weekly or Every 2, 3 or 4 weeks. ",""))&amp;IF($D178="","Visit length is missing. ",IF(NOT(ISNUMBER($D178)),"Visit length must be a number of hours. ",IF($D178&lt;0,"Visit length can't be negative. ",IF($D178=0,"Visit length must be more than 0. ",IF(ABS($D178*100-ROUND($D178*100,0))&gt;0.000001,"Visit length: use up to 2 decimals. ",IF($D178&gt;24,"Visit length: 24 hours or less. ",""))))))&amp;IF($E178="","",IF(NOT(ISNUMBER($E178)),"Last visit isn't a date (it's text). ",IF($E178&lt;&gt;INT($E178),"Last visit has a time; enter a date only. ",IF(OR($E178&lt;DATE(2000,1,1),$E178&gt;DATE(2099,12,31)),"Last visit must be from 2000 to 2099. ",IF(AND(IF(ISNUMBER($B178),AND($B178=INT($B178),$B178&gt;=DATE(2000,1,1),$B178&lt;=DATE(2099,12,31)),FALSE()),$E178&lt;$B178),"Last visit is before the first visit. ","")))))))</f>
        <v/>
      </c>
      <c r="J178" s="39" t="n">
        <f aca="false">IF($H178="OK",1,0)</f>
        <v>0</v>
      </c>
      <c r="K178" s="40" t="n">
        <f aca="false">IF($J178=1,$B178,0)</f>
        <v>0</v>
      </c>
      <c r="L178" s="39" t="n">
        <f aca="false">IF($J178=1,7*MATCH($C178&amp;"",{"Weekly","Every 2 weeks","Every 3 weeks","Every 4 weeks"},0),7)</f>
        <v>7</v>
      </c>
      <c r="M178" s="40" t="n">
        <f aca="false">IF($J178=1,IF($E178="",2958465,$E178),0)</f>
        <v>0</v>
      </c>
      <c r="N178" s="39" t="n">
        <f aca="false">IF($J178=1,ROUND($D178*100,0),0)</f>
        <v>0</v>
      </c>
      <c r="O178" s="40" t="str">
        <f aca="false">IF($J178&lt;&gt;1,"",IF(AND((WeekMon+WEEKDAY($K178,2)-1)&gt;=$K178,MOD((WeekMon+WEEKDAY($K178,2)-1)-$K178,$L178)=0,(WeekMon+WEEKDAY($K178,2)-1)&lt;=$M178),(WeekMon+WEEKDAY($K178,2)-1),""))</f>
        <v/>
      </c>
      <c r="P178" s="39" t="str">
        <f aca="false">IF($O178="","",($O178-WeekMon)*1000+ROW()-11)</f>
        <v/>
      </c>
    </row>
    <row r="179" customFormat="false" ht="15" hidden="false" customHeight="false" outlineLevel="0" collapsed="false">
      <c r="A179" s="33"/>
      <c r="B179" s="34"/>
      <c r="C179" s="33"/>
      <c r="D179" s="35"/>
      <c r="E179" s="34"/>
      <c r="F179" s="36" t="str">
        <f aca="false">IF(IF(ISNUMBER($B179),AND($B179=INT($B179),$B179&gt;=DATE(2000,1,1),$B179&lt;=DATE(2099,12,31)),FALSE()),CHOOSE(WEEKDAY($B179,2),"Monday","Tuesday","Wednesday","Thursday","Friday","Saturday","Sunday"),"")</f>
        <v/>
      </c>
      <c r="G179" s="36" t="str">
        <f aca="false">IF($J179&lt;&gt;1,"",MAX(0,INT((MIN(WinStart+83,$M179)-MAX($K179,$K179+ROUNDUP((WinStart-$K179)/$L179,0)*$L179))/$L179)+1))</f>
        <v/>
      </c>
      <c r="H179" s="37" t="str">
        <f aca="false">IF(AND($A179="",$B179="",$C179="",$D179="",$E179=""),"",IF($I179="","OK","Check details"))</f>
        <v/>
      </c>
      <c r="I179" s="38" t="str">
        <f aca="false">IF(AND($A179="",$B179="",$C179="",$D179="",$E179=""),"",TRIM(IF(TRIM($A179&amp;"")="","Label is missing. ","")&amp;IF($B179="","First visit is missing. ",IF(NOT(ISNUMBER($B179)),"First visit isn't a date (it's text). ",IF($B179&lt;&gt;INT($B179),"First visit has a time; enter a date only. ",IF(OR($B179&lt;DATE(2000,1,1),$B179&gt;DATE(2099,12,31)),"First visit must be from 2000 to 2099. ",""))))&amp;IF($C179="","Repeat every is missing. ",IF(ISNA(MATCH($C179&amp;"",{"Weekly","Every 2 weeks","Every 3 weeks","Every 4 weeks"},0)),"Repeat every must be Weekly or Every 2, 3 or 4 weeks. ",""))&amp;IF($D179="","Visit length is missing. ",IF(NOT(ISNUMBER($D179)),"Visit length must be a number of hours. ",IF($D179&lt;0,"Visit length can't be negative. ",IF($D179=0,"Visit length must be more than 0. ",IF(ABS($D179*100-ROUND($D179*100,0))&gt;0.000001,"Visit length: use up to 2 decimals. ",IF($D179&gt;24,"Visit length: 24 hours or less. ",""))))))&amp;IF($E179="","",IF(NOT(ISNUMBER($E179)),"Last visit isn't a date (it's text). ",IF($E179&lt;&gt;INT($E179),"Last visit has a time; enter a date only. ",IF(OR($E179&lt;DATE(2000,1,1),$E179&gt;DATE(2099,12,31)),"Last visit must be from 2000 to 2099. ",IF(AND(IF(ISNUMBER($B179),AND($B179=INT($B179),$B179&gt;=DATE(2000,1,1),$B179&lt;=DATE(2099,12,31)),FALSE()),$E179&lt;$B179),"Last visit is before the first visit. ","")))))))</f>
        <v/>
      </c>
      <c r="J179" s="39" t="n">
        <f aca="false">IF($H179="OK",1,0)</f>
        <v>0</v>
      </c>
      <c r="K179" s="40" t="n">
        <f aca="false">IF($J179=1,$B179,0)</f>
        <v>0</v>
      </c>
      <c r="L179" s="39" t="n">
        <f aca="false">IF($J179=1,7*MATCH($C179&amp;"",{"Weekly","Every 2 weeks","Every 3 weeks","Every 4 weeks"},0),7)</f>
        <v>7</v>
      </c>
      <c r="M179" s="40" t="n">
        <f aca="false">IF($J179=1,IF($E179="",2958465,$E179),0)</f>
        <v>0</v>
      </c>
      <c r="N179" s="39" t="n">
        <f aca="false">IF($J179=1,ROUND($D179*100,0),0)</f>
        <v>0</v>
      </c>
      <c r="O179" s="40" t="str">
        <f aca="false">IF($J179&lt;&gt;1,"",IF(AND((WeekMon+WEEKDAY($K179,2)-1)&gt;=$K179,MOD((WeekMon+WEEKDAY($K179,2)-1)-$K179,$L179)=0,(WeekMon+WEEKDAY($K179,2)-1)&lt;=$M179),(WeekMon+WEEKDAY($K179,2)-1),""))</f>
        <v/>
      </c>
      <c r="P179" s="39" t="str">
        <f aca="false">IF($O179="","",($O179-WeekMon)*1000+ROW()-11)</f>
        <v/>
      </c>
    </row>
    <row r="180" customFormat="false" ht="15" hidden="false" customHeight="false" outlineLevel="0" collapsed="false">
      <c r="A180" s="33"/>
      <c r="B180" s="34"/>
      <c r="C180" s="33"/>
      <c r="D180" s="35"/>
      <c r="E180" s="34"/>
      <c r="F180" s="36" t="str">
        <f aca="false">IF(IF(ISNUMBER($B180),AND($B180=INT($B180),$B180&gt;=DATE(2000,1,1),$B180&lt;=DATE(2099,12,31)),FALSE()),CHOOSE(WEEKDAY($B180,2),"Monday","Tuesday","Wednesday","Thursday","Friday","Saturday","Sunday"),"")</f>
        <v/>
      </c>
      <c r="G180" s="36" t="str">
        <f aca="false">IF($J180&lt;&gt;1,"",MAX(0,INT((MIN(WinStart+83,$M180)-MAX($K180,$K180+ROUNDUP((WinStart-$K180)/$L180,0)*$L180))/$L180)+1))</f>
        <v/>
      </c>
      <c r="H180" s="37" t="str">
        <f aca="false">IF(AND($A180="",$B180="",$C180="",$D180="",$E180=""),"",IF($I180="","OK","Check details"))</f>
        <v/>
      </c>
      <c r="I180" s="38" t="str">
        <f aca="false">IF(AND($A180="",$B180="",$C180="",$D180="",$E180=""),"",TRIM(IF(TRIM($A180&amp;"")="","Label is missing. ","")&amp;IF($B180="","First visit is missing. ",IF(NOT(ISNUMBER($B180)),"First visit isn't a date (it's text). ",IF($B180&lt;&gt;INT($B180),"First visit has a time; enter a date only. ",IF(OR($B180&lt;DATE(2000,1,1),$B180&gt;DATE(2099,12,31)),"First visit must be from 2000 to 2099. ",""))))&amp;IF($C180="","Repeat every is missing. ",IF(ISNA(MATCH($C180&amp;"",{"Weekly","Every 2 weeks","Every 3 weeks","Every 4 weeks"},0)),"Repeat every must be Weekly or Every 2, 3 or 4 weeks. ",""))&amp;IF($D180="","Visit length is missing. ",IF(NOT(ISNUMBER($D180)),"Visit length must be a number of hours. ",IF($D180&lt;0,"Visit length can't be negative. ",IF($D180=0,"Visit length must be more than 0. ",IF(ABS($D180*100-ROUND($D180*100,0))&gt;0.000001,"Visit length: use up to 2 decimals. ",IF($D180&gt;24,"Visit length: 24 hours or less. ",""))))))&amp;IF($E180="","",IF(NOT(ISNUMBER($E180)),"Last visit isn't a date (it's text). ",IF($E180&lt;&gt;INT($E180),"Last visit has a time; enter a date only. ",IF(OR($E180&lt;DATE(2000,1,1),$E180&gt;DATE(2099,12,31)),"Last visit must be from 2000 to 2099. ",IF(AND(IF(ISNUMBER($B180),AND($B180=INT($B180),$B180&gt;=DATE(2000,1,1),$B180&lt;=DATE(2099,12,31)),FALSE()),$E180&lt;$B180),"Last visit is before the first visit. ","")))))))</f>
        <v/>
      </c>
      <c r="J180" s="39" t="n">
        <f aca="false">IF($H180="OK",1,0)</f>
        <v>0</v>
      </c>
      <c r="K180" s="40" t="n">
        <f aca="false">IF($J180=1,$B180,0)</f>
        <v>0</v>
      </c>
      <c r="L180" s="39" t="n">
        <f aca="false">IF($J180=1,7*MATCH($C180&amp;"",{"Weekly","Every 2 weeks","Every 3 weeks","Every 4 weeks"},0),7)</f>
        <v>7</v>
      </c>
      <c r="M180" s="40" t="n">
        <f aca="false">IF($J180=1,IF($E180="",2958465,$E180),0)</f>
        <v>0</v>
      </c>
      <c r="N180" s="39" t="n">
        <f aca="false">IF($J180=1,ROUND($D180*100,0),0)</f>
        <v>0</v>
      </c>
      <c r="O180" s="40" t="str">
        <f aca="false">IF($J180&lt;&gt;1,"",IF(AND((WeekMon+WEEKDAY($K180,2)-1)&gt;=$K180,MOD((WeekMon+WEEKDAY($K180,2)-1)-$K180,$L180)=0,(WeekMon+WEEKDAY($K180,2)-1)&lt;=$M180),(WeekMon+WEEKDAY($K180,2)-1),""))</f>
        <v/>
      </c>
      <c r="P180" s="39" t="str">
        <f aca="false">IF($O180="","",($O180-WeekMon)*1000+ROW()-11)</f>
        <v/>
      </c>
    </row>
    <row r="181" customFormat="false" ht="15" hidden="false" customHeight="false" outlineLevel="0" collapsed="false">
      <c r="A181" s="33"/>
      <c r="B181" s="34"/>
      <c r="C181" s="33"/>
      <c r="D181" s="35"/>
      <c r="E181" s="34"/>
      <c r="F181" s="36" t="str">
        <f aca="false">IF(IF(ISNUMBER($B181),AND($B181=INT($B181),$B181&gt;=DATE(2000,1,1),$B181&lt;=DATE(2099,12,31)),FALSE()),CHOOSE(WEEKDAY($B181,2),"Monday","Tuesday","Wednesday","Thursday","Friday","Saturday","Sunday"),"")</f>
        <v/>
      </c>
      <c r="G181" s="36" t="str">
        <f aca="false">IF($J181&lt;&gt;1,"",MAX(0,INT((MIN(WinStart+83,$M181)-MAX($K181,$K181+ROUNDUP((WinStart-$K181)/$L181,0)*$L181))/$L181)+1))</f>
        <v/>
      </c>
      <c r="H181" s="37" t="str">
        <f aca="false">IF(AND($A181="",$B181="",$C181="",$D181="",$E181=""),"",IF($I181="","OK","Check details"))</f>
        <v/>
      </c>
      <c r="I181" s="38" t="str">
        <f aca="false">IF(AND($A181="",$B181="",$C181="",$D181="",$E181=""),"",TRIM(IF(TRIM($A181&amp;"")="","Label is missing. ","")&amp;IF($B181="","First visit is missing. ",IF(NOT(ISNUMBER($B181)),"First visit isn't a date (it's text). ",IF($B181&lt;&gt;INT($B181),"First visit has a time; enter a date only. ",IF(OR($B181&lt;DATE(2000,1,1),$B181&gt;DATE(2099,12,31)),"First visit must be from 2000 to 2099. ",""))))&amp;IF($C181="","Repeat every is missing. ",IF(ISNA(MATCH($C181&amp;"",{"Weekly","Every 2 weeks","Every 3 weeks","Every 4 weeks"},0)),"Repeat every must be Weekly or Every 2, 3 or 4 weeks. ",""))&amp;IF($D181="","Visit length is missing. ",IF(NOT(ISNUMBER($D181)),"Visit length must be a number of hours. ",IF($D181&lt;0,"Visit length can't be negative. ",IF($D181=0,"Visit length must be more than 0. ",IF(ABS($D181*100-ROUND($D181*100,0))&gt;0.000001,"Visit length: use up to 2 decimals. ",IF($D181&gt;24,"Visit length: 24 hours or less. ",""))))))&amp;IF($E181="","",IF(NOT(ISNUMBER($E181)),"Last visit isn't a date (it's text). ",IF($E181&lt;&gt;INT($E181),"Last visit has a time; enter a date only. ",IF(OR($E181&lt;DATE(2000,1,1),$E181&gt;DATE(2099,12,31)),"Last visit must be from 2000 to 2099. ",IF(AND(IF(ISNUMBER($B181),AND($B181=INT($B181),$B181&gt;=DATE(2000,1,1),$B181&lt;=DATE(2099,12,31)),FALSE()),$E181&lt;$B181),"Last visit is before the first visit. ","")))))))</f>
        <v/>
      </c>
      <c r="J181" s="39" t="n">
        <f aca="false">IF($H181="OK",1,0)</f>
        <v>0</v>
      </c>
      <c r="K181" s="40" t="n">
        <f aca="false">IF($J181=1,$B181,0)</f>
        <v>0</v>
      </c>
      <c r="L181" s="39" t="n">
        <f aca="false">IF($J181=1,7*MATCH($C181&amp;"",{"Weekly","Every 2 weeks","Every 3 weeks","Every 4 weeks"},0),7)</f>
        <v>7</v>
      </c>
      <c r="M181" s="40" t="n">
        <f aca="false">IF($J181=1,IF($E181="",2958465,$E181),0)</f>
        <v>0</v>
      </c>
      <c r="N181" s="39" t="n">
        <f aca="false">IF($J181=1,ROUND($D181*100,0),0)</f>
        <v>0</v>
      </c>
      <c r="O181" s="40" t="str">
        <f aca="false">IF($J181&lt;&gt;1,"",IF(AND((WeekMon+WEEKDAY($K181,2)-1)&gt;=$K181,MOD((WeekMon+WEEKDAY($K181,2)-1)-$K181,$L181)=0,(WeekMon+WEEKDAY($K181,2)-1)&lt;=$M181),(WeekMon+WEEKDAY($K181,2)-1),""))</f>
        <v/>
      </c>
      <c r="P181" s="39" t="str">
        <f aca="false">IF($O181="","",($O181-WeekMon)*1000+ROW()-11)</f>
        <v/>
      </c>
    </row>
    <row r="182" customFormat="false" ht="15" hidden="false" customHeight="false" outlineLevel="0" collapsed="false">
      <c r="A182" s="33"/>
      <c r="B182" s="34"/>
      <c r="C182" s="33"/>
      <c r="D182" s="35"/>
      <c r="E182" s="34"/>
      <c r="F182" s="36" t="str">
        <f aca="false">IF(IF(ISNUMBER($B182),AND($B182=INT($B182),$B182&gt;=DATE(2000,1,1),$B182&lt;=DATE(2099,12,31)),FALSE()),CHOOSE(WEEKDAY($B182,2),"Monday","Tuesday","Wednesday","Thursday","Friday","Saturday","Sunday"),"")</f>
        <v/>
      </c>
      <c r="G182" s="36" t="str">
        <f aca="false">IF($J182&lt;&gt;1,"",MAX(0,INT((MIN(WinStart+83,$M182)-MAX($K182,$K182+ROUNDUP((WinStart-$K182)/$L182,0)*$L182))/$L182)+1))</f>
        <v/>
      </c>
      <c r="H182" s="37" t="str">
        <f aca="false">IF(AND($A182="",$B182="",$C182="",$D182="",$E182=""),"",IF($I182="","OK","Check details"))</f>
        <v/>
      </c>
      <c r="I182" s="38" t="str">
        <f aca="false">IF(AND($A182="",$B182="",$C182="",$D182="",$E182=""),"",TRIM(IF(TRIM($A182&amp;"")="","Label is missing. ","")&amp;IF($B182="","First visit is missing. ",IF(NOT(ISNUMBER($B182)),"First visit isn't a date (it's text). ",IF($B182&lt;&gt;INT($B182),"First visit has a time; enter a date only. ",IF(OR($B182&lt;DATE(2000,1,1),$B182&gt;DATE(2099,12,31)),"First visit must be from 2000 to 2099. ",""))))&amp;IF($C182="","Repeat every is missing. ",IF(ISNA(MATCH($C182&amp;"",{"Weekly","Every 2 weeks","Every 3 weeks","Every 4 weeks"},0)),"Repeat every must be Weekly or Every 2, 3 or 4 weeks. ",""))&amp;IF($D182="","Visit length is missing. ",IF(NOT(ISNUMBER($D182)),"Visit length must be a number of hours. ",IF($D182&lt;0,"Visit length can't be negative. ",IF($D182=0,"Visit length must be more than 0. ",IF(ABS($D182*100-ROUND($D182*100,0))&gt;0.000001,"Visit length: use up to 2 decimals. ",IF($D182&gt;24,"Visit length: 24 hours or less. ",""))))))&amp;IF($E182="","",IF(NOT(ISNUMBER($E182)),"Last visit isn't a date (it's text). ",IF($E182&lt;&gt;INT($E182),"Last visit has a time; enter a date only. ",IF(OR($E182&lt;DATE(2000,1,1),$E182&gt;DATE(2099,12,31)),"Last visit must be from 2000 to 2099. ",IF(AND(IF(ISNUMBER($B182),AND($B182=INT($B182),$B182&gt;=DATE(2000,1,1),$B182&lt;=DATE(2099,12,31)),FALSE()),$E182&lt;$B182),"Last visit is before the first visit. ","")))))))</f>
        <v/>
      </c>
      <c r="J182" s="39" t="n">
        <f aca="false">IF($H182="OK",1,0)</f>
        <v>0</v>
      </c>
      <c r="K182" s="40" t="n">
        <f aca="false">IF($J182=1,$B182,0)</f>
        <v>0</v>
      </c>
      <c r="L182" s="39" t="n">
        <f aca="false">IF($J182=1,7*MATCH($C182&amp;"",{"Weekly","Every 2 weeks","Every 3 weeks","Every 4 weeks"},0),7)</f>
        <v>7</v>
      </c>
      <c r="M182" s="40" t="n">
        <f aca="false">IF($J182=1,IF($E182="",2958465,$E182),0)</f>
        <v>0</v>
      </c>
      <c r="N182" s="39" t="n">
        <f aca="false">IF($J182=1,ROUND($D182*100,0),0)</f>
        <v>0</v>
      </c>
      <c r="O182" s="40" t="str">
        <f aca="false">IF($J182&lt;&gt;1,"",IF(AND((WeekMon+WEEKDAY($K182,2)-1)&gt;=$K182,MOD((WeekMon+WEEKDAY($K182,2)-1)-$K182,$L182)=0,(WeekMon+WEEKDAY($K182,2)-1)&lt;=$M182),(WeekMon+WEEKDAY($K182,2)-1),""))</f>
        <v/>
      </c>
      <c r="P182" s="39" t="str">
        <f aca="false">IF($O182="","",($O182-WeekMon)*1000+ROW()-11)</f>
        <v/>
      </c>
    </row>
    <row r="183" customFormat="false" ht="15" hidden="false" customHeight="false" outlineLevel="0" collapsed="false">
      <c r="A183" s="33"/>
      <c r="B183" s="34"/>
      <c r="C183" s="33"/>
      <c r="D183" s="35"/>
      <c r="E183" s="34"/>
      <c r="F183" s="36" t="str">
        <f aca="false">IF(IF(ISNUMBER($B183),AND($B183=INT($B183),$B183&gt;=DATE(2000,1,1),$B183&lt;=DATE(2099,12,31)),FALSE()),CHOOSE(WEEKDAY($B183,2),"Monday","Tuesday","Wednesday","Thursday","Friday","Saturday","Sunday"),"")</f>
        <v/>
      </c>
      <c r="G183" s="36" t="str">
        <f aca="false">IF($J183&lt;&gt;1,"",MAX(0,INT((MIN(WinStart+83,$M183)-MAX($K183,$K183+ROUNDUP((WinStart-$K183)/$L183,0)*$L183))/$L183)+1))</f>
        <v/>
      </c>
      <c r="H183" s="37" t="str">
        <f aca="false">IF(AND($A183="",$B183="",$C183="",$D183="",$E183=""),"",IF($I183="","OK","Check details"))</f>
        <v/>
      </c>
      <c r="I183" s="38" t="str">
        <f aca="false">IF(AND($A183="",$B183="",$C183="",$D183="",$E183=""),"",TRIM(IF(TRIM($A183&amp;"")="","Label is missing. ","")&amp;IF($B183="","First visit is missing. ",IF(NOT(ISNUMBER($B183)),"First visit isn't a date (it's text). ",IF($B183&lt;&gt;INT($B183),"First visit has a time; enter a date only. ",IF(OR($B183&lt;DATE(2000,1,1),$B183&gt;DATE(2099,12,31)),"First visit must be from 2000 to 2099. ",""))))&amp;IF($C183="","Repeat every is missing. ",IF(ISNA(MATCH($C183&amp;"",{"Weekly","Every 2 weeks","Every 3 weeks","Every 4 weeks"},0)),"Repeat every must be Weekly or Every 2, 3 or 4 weeks. ",""))&amp;IF($D183="","Visit length is missing. ",IF(NOT(ISNUMBER($D183)),"Visit length must be a number of hours. ",IF($D183&lt;0,"Visit length can't be negative. ",IF($D183=0,"Visit length must be more than 0. ",IF(ABS($D183*100-ROUND($D183*100,0))&gt;0.000001,"Visit length: use up to 2 decimals. ",IF($D183&gt;24,"Visit length: 24 hours or less. ",""))))))&amp;IF($E183="","",IF(NOT(ISNUMBER($E183)),"Last visit isn't a date (it's text). ",IF($E183&lt;&gt;INT($E183),"Last visit has a time; enter a date only. ",IF(OR($E183&lt;DATE(2000,1,1),$E183&gt;DATE(2099,12,31)),"Last visit must be from 2000 to 2099. ",IF(AND(IF(ISNUMBER($B183),AND($B183=INT($B183),$B183&gt;=DATE(2000,1,1),$B183&lt;=DATE(2099,12,31)),FALSE()),$E183&lt;$B183),"Last visit is before the first visit. ","")))))))</f>
        <v/>
      </c>
      <c r="J183" s="39" t="n">
        <f aca="false">IF($H183="OK",1,0)</f>
        <v>0</v>
      </c>
      <c r="K183" s="40" t="n">
        <f aca="false">IF($J183=1,$B183,0)</f>
        <v>0</v>
      </c>
      <c r="L183" s="39" t="n">
        <f aca="false">IF($J183=1,7*MATCH($C183&amp;"",{"Weekly","Every 2 weeks","Every 3 weeks","Every 4 weeks"},0),7)</f>
        <v>7</v>
      </c>
      <c r="M183" s="40" t="n">
        <f aca="false">IF($J183=1,IF($E183="",2958465,$E183),0)</f>
        <v>0</v>
      </c>
      <c r="N183" s="39" t="n">
        <f aca="false">IF($J183=1,ROUND($D183*100,0),0)</f>
        <v>0</v>
      </c>
      <c r="O183" s="40" t="str">
        <f aca="false">IF($J183&lt;&gt;1,"",IF(AND((WeekMon+WEEKDAY($K183,2)-1)&gt;=$K183,MOD((WeekMon+WEEKDAY($K183,2)-1)-$K183,$L183)=0,(WeekMon+WEEKDAY($K183,2)-1)&lt;=$M183),(WeekMon+WEEKDAY($K183,2)-1),""))</f>
        <v/>
      </c>
      <c r="P183" s="39" t="str">
        <f aca="false">IF($O183="","",($O183-WeekMon)*1000+ROW()-11)</f>
        <v/>
      </c>
    </row>
    <row r="184" customFormat="false" ht="15" hidden="false" customHeight="false" outlineLevel="0" collapsed="false">
      <c r="A184" s="33"/>
      <c r="B184" s="34"/>
      <c r="C184" s="33"/>
      <c r="D184" s="35"/>
      <c r="E184" s="34"/>
      <c r="F184" s="36" t="str">
        <f aca="false">IF(IF(ISNUMBER($B184),AND($B184=INT($B184),$B184&gt;=DATE(2000,1,1),$B184&lt;=DATE(2099,12,31)),FALSE()),CHOOSE(WEEKDAY($B184,2),"Monday","Tuesday","Wednesday","Thursday","Friday","Saturday","Sunday"),"")</f>
        <v/>
      </c>
      <c r="G184" s="36" t="str">
        <f aca="false">IF($J184&lt;&gt;1,"",MAX(0,INT((MIN(WinStart+83,$M184)-MAX($K184,$K184+ROUNDUP((WinStart-$K184)/$L184,0)*$L184))/$L184)+1))</f>
        <v/>
      </c>
      <c r="H184" s="37" t="str">
        <f aca="false">IF(AND($A184="",$B184="",$C184="",$D184="",$E184=""),"",IF($I184="","OK","Check details"))</f>
        <v/>
      </c>
      <c r="I184" s="38" t="str">
        <f aca="false">IF(AND($A184="",$B184="",$C184="",$D184="",$E184=""),"",TRIM(IF(TRIM($A184&amp;"")="","Label is missing. ","")&amp;IF($B184="","First visit is missing. ",IF(NOT(ISNUMBER($B184)),"First visit isn't a date (it's text). ",IF($B184&lt;&gt;INT($B184),"First visit has a time; enter a date only. ",IF(OR($B184&lt;DATE(2000,1,1),$B184&gt;DATE(2099,12,31)),"First visit must be from 2000 to 2099. ",""))))&amp;IF($C184="","Repeat every is missing. ",IF(ISNA(MATCH($C184&amp;"",{"Weekly","Every 2 weeks","Every 3 weeks","Every 4 weeks"},0)),"Repeat every must be Weekly or Every 2, 3 or 4 weeks. ",""))&amp;IF($D184="","Visit length is missing. ",IF(NOT(ISNUMBER($D184)),"Visit length must be a number of hours. ",IF($D184&lt;0,"Visit length can't be negative. ",IF($D184=0,"Visit length must be more than 0. ",IF(ABS($D184*100-ROUND($D184*100,0))&gt;0.000001,"Visit length: use up to 2 decimals. ",IF($D184&gt;24,"Visit length: 24 hours or less. ",""))))))&amp;IF($E184="","",IF(NOT(ISNUMBER($E184)),"Last visit isn't a date (it's text). ",IF($E184&lt;&gt;INT($E184),"Last visit has a time; enter a date only. ",IF(OR($E184&lt;DATE(2000,1,1),$E184&gt;DATE(2099,12,31)),"Last visit must be from 2000 to 2099. ",IF(AND(IF(ISNUMBER($B184),AND($B184=INT($B184),$B184&gt;=DATE(2000,1,1),$B184&lt;=DATE(2099,12,31)),FALSE()),$E184&lt;$B184),"Last visit is before the first visit. ","")))))))</f>
        <v/>
      </c>
      <c r="J184" s="39" t="n">
        <f aca="false">IF($H184="OK",1,0)</f>
        <v>0</v>
      </c>
      <c r="K184" s="40" t="n">
        <f aca="false">IF($J184=1,$B184,0)</f>
        <v>0</v>
      </c>
      <c r="L184" s="39" t="n">
        <f aca="false">IF($J184=1,7*MATCH($C184&amp;"",{"Weekly","Every 2 weeks","Every 3 weeks","Every 4 weeks"},0),7)</f>
        <v>7</v>
      </c>
      <c r="M184" s="40" t="n">
        <f aca="false">IF($J184=1,IF($E184="",2958465,$E184),0)</f>
        <v>0</v>
      </c>
      <c r="N184" s="39" t="n">
        <f aca="false">IF($J184=1,ROUND($D184*100,0),0)</f>
        <v>0</v>
      </c>
      <c r="O184" s="40" t="str">
        <f aca="false">IF($J184&lt;&gt;1,"",IF(AND((WeekMon+WEEKDAY($K184,2)-1)&gt;=$K184,MOD((WeekMon+WEEKDAY($K184,2)-1)-$K184,$L184)=0,(WeekMon+WEEKDAY($K184,2)-1)&lt;=$M184),(WeekMon+WEEKDAY($K184,2)-1),""))</f>
        <v/>
      </c>
      <c r="P184" s="39" t="str">
        <f aca="false">IF($O184="","",($O184-WeekMon)*1000+ROW()-11)</f>
        <v/>
      </c>
    </row>
    <row r="185" customFormat="false" ht="15" hidden="false" customHeight="false" outlineLevel="0" collapsed="false">
      <c r="A185" s="33"/>
      <c r="B185" s="34"/>
      <c r="C185" s="33"/>
      <c r="D185" s="35"/>
      <c r="E185" s="34"/>
      <c r="F185" s="36" t="str">
        <f aca="false">IF(IF(ISNUMBER($B185),AND($B185=INT($B185),$B185&gt;=DATE(2000,1,1),$B185&lt;=DATE(2099,12,31)),FALSE()),CHOOSE(WEEKDAY($B185,2),"Monday","Tuesday","Wednesday","Thursday","Friday","Saturday","Sunday"),"")</f>
        <v/>
      </c>
      <c r="G185" s="36" t="str">
        <f aca="false">IF($J185&lt;&gt;1,"",MAX(0,INT((MIN(WinStart+83,$M185)-MAX($K185,$K185+ROUNDUP((WinStart-$K185)/$L185,0)*$L185))/$L185)+1))</f>
        <v/>
      </c>
      <c r="H185" s="37" t="str">
        <f aca="false">IF(AND($A185="",$B185="",$C185="",$D185="",$E185=""),"",IF($I185="","OK","Check details"))</f>
        <v/>
      </c>
      <c r="I185" s="38" t="str">
        <f aca="false">IF(AND($A185="",$B185="",$C185="",$D185="",$E185=""),"",TRIM(IF(TRIM($A185&amp;"")="","Label is missing. ","")&amp;IF($B185="","First visit is missing. ",IF(NOT(ISNUMBER($B185)),"First visit isn't a date (it's text). ",IF($B185&lt;&gt;INT($B185),"First visit has a time; enter a date only. ",IF(OR($B185&lt;DATE(2000,1,1),$B185&gt;DATE(2099,12,31)),"First visit must be from 2000 to 2099. ",""))))&amp;IF($C185="","Repeat every is missing. ",IF(ISNA(MATCH($C185&amp;"",{"Weekly","Every 2 weeks","Every 3 weeks","Every 4 weeks"},0)),"Repeat every must be Weekly or Every 2, 3 or 4 weeks. ",""))&amp;IF($D185="","Visit length is missing. ",IF(NOT(ISNUMBER($D185)),"Visit length must be a number of hours. ",IF($D185&lt;0,"Visit length can't be negative. ",IF($D185=0,"Visit length must be more than 0. ",IF(ABS($D185*100-ROUND($D185*100,0))&gt;0.000001,"Visit length: use up to 2 decimals. ",IF($D185&gt;24,"Visit length: 24 hours or less. ",""))))))&amp;IF($E185="","",IF(NOT(ISNUMBER($E185)),"Last visit isn't a date (it's text). ",IF($E185&lt;&gt;INT($E185),"Last visit has a time; enter a date only. ",IF(OR($E185&lt;DATE(2000,1,1),$E185&gt;DATE(2099,12,31)),"Last visit must be from 2000 to 2099. ",IF(AND(IF(ISNUMBER($B185),AND($B185=INT($B185),$B185&gt;=DATE(2000,1,1),$B185&lt;=DATE(2099,12,31)),FALSE()),$E185&lt;$B185),"Last visit is before the first visit. ","")))))))</f>
        <v/>
      </c>
      <c r="J185" s="39" t="n">
        <f aca="false">IF($H185="OK",1,0)</f>
        <v>0</v>
      </c>
      <c r="K185" s="40" t="n">
        <f aca="false">IF($J185=1,$B185,0)</f>
        <v>0</v>
      </c>
      <c r="L185" s="39" t="n">
        <f aca="false">IF($J185=1,7*MATCH($C185&amp;"",{"Weekly","Every 2 weeks","Every 3 weeks","Every 4 weeks"},0),7)</f>
        <v>7</v>
      </c>
      <c r="M185" s="40" t="n">
        <f aca="false">IF($J185=1,IF($E185="",2958465,$E185),0)</f>
        <v>0</v>
      </c>
      <c r="N185" s="39" t="n">
        <f aca="false">IF($J185=1,ROUND($D185*100,0),0)</f>
        <v>0</v>
      </c>
      <c r="O185" s="40" t="str">
        <f aca="false">IF($J185&lt;&gt;1,"",IF(AND((WeekMon+WEEKDAY($K185,2)-1)&gt;=$K185,MOD((WeekMon+WEEKDAY($K185,2)-1)-$K185,$L185)=0,(WeekMon+WEEKDAY($K185,2)-1)&lt;=$M185),(WeekMon+WEEKDAY($K185,2)-1),""))</f>
        <v/>
      </c>
      <c r="P185" s="39" t="str">
        <f aca="false">IF($O185="","",($O185-WeekMon)*1000+ROW()-11)</f>
        <v/>
      </c>
    </row>
    <row r="186" customFormat="false" ht="15" hidden="false" customHeight="false" outlineLevel="0" collapsed="false">
      <c r="A186" s="33"/>
      <c r="B186" s="34"/>
      <c r="C186" s="33"/>
      <c r="D186" s="35"/>
      <c r="E186" s="34"/>
      <c r="F186" s="36" t="str">
        <f aca="false">IF(IF(ISNUMBER($B186),AND($B186=INT($B186),$B186&gt;=DATE(2000,1,1),$B186&lt;=DATE(2099,12,31)),FALSE()),CHOOSE(WEEKDAY($B186,2),"Monday","Tuesday","Wednesday","Thursday","Friday","Saturday","Sunday"),"")</f>
        <v/>
      </c>
      <c r="G186" s="36" t="str">
        <f aca="false">IF($J186&lt;&gt;1,"",MAX(0,INT((MIN(WinStart+83,$M186)-MAX($K186,$K186+ROUNDUP((WinStart-$K186)/$L186,0)*$L186))/$L186)+1))</f>
        <v/>
      </c>
      <c r="H186" s="37" t="str">
        <f aca="false">IF(AND($A186="",$B186="",$C186="",$D186="",$E186=""),"",IF($I186="","OK","Check details"))</f>
        <v/>
      </c>
      <c r="I186" s="38" t="str">
        <f aca="false">IF(AND($A186="",$B186="",$C186="",$D186="",$E186=""),"",TRIM(IF(TRIM($A186&amp;"")="","Label is missing. ","")&amp;IF($B186="","First visit is missing. ",IF(NOT(ISNUMBER($B186)),"First visit isn't a date (it's text). ",IF($B186&lt;&gt;INT($B186),"First visit has a time; enter a date only. ",IF(OR($B186&lt;DATE(2000,1,1),$B186&gt;DATE(2099,12,31)),"First visit must be from 2000 to 2099. ",""))))&amp;IF($C186="","Repeat every is missing. ",IF(ISNA(MATCH($C186&amp;"",{"Weekly","Every 2 weeks","Every 3 weeks","Every 4 weeks"},0)),"Repeat every must be Weekly or Every 2, 3 or 4 weeks. ",""))&amp;IF($D186="","Visit length is missing. ",IF(NOT(ISNUMBER($D186)),"Visit length must be a number of hours. ",IF($D186&lt;0,"Visit length can't be negative. ",IF($D186=0,"Visit length must be more than 0. ",IF(ABS($D186*100-ROUND($D186*100,0))&gt;0.000001,"Visit length: use up to 2 decimals. ",IF($D186&gt;24,"Visit length: 24 hours or less. ",""))))))&amp;IF($E186="","",IF(NOT(ISNUMBER($E186)),"Last visit isn't a date (it's text). ",IF($E186&lt;&gt;INT($E186),"Last visit has a time; enter a date only. ",IF(OR($E186&lt;DATE(2000,1,1),$E186&gt;DATE(2099,12,31)),"Last visit must be from 2000 to 2099. ",IF(AND(IF(ISNUMBER($B186),AND($B186=INT($B186),$B186&gt;=DATE(2000,1,1),$B186&lt;=DATE(2099,12,31)),FALSE()),$E186&lt;$B186),"Last visit is before the first visit. ","")))))))</f>
        <v/>
      </c>
      <c r="J186" s="39" t="n">
        <f aca="false">IF($H186="OK",1,0)</f>
        <v>0</v>
      </c>
      <c r="K186" s="40" t="n">
        <f aca="false">IF($J186=1,$B186,0)</f>
        <v>0</v>
      </c>
      <c r="L186" s="39" t="n">
        <f aca="false">IF($J186=1,7*MATCH($C186&amp;"",{"Weekly","Every 2 weeks","Every 3 weeks","Every 4 weeks"},0),7)</f>
        <v>7</v>
      </c>
      <c r="M186" s="40" t="n">
        <f aca="false">IF($J186=1,IF($E186="",2958465,$E186),0)</f>
        <v>0</v>
      </c>
      <c r="N186" s="39" t="n">
        <f aca="false">IF($J186=1,ROUND($D186*100,0),0)</f>
        <v>0</v>
      </c>
      <c r="O186" s="40" t="str">
        <f aca="false">IF($J186&lt;&gt;1,"",IF(AND((WeekMon+WEEKDAY($K186,2)-1)&gt;=$K186,MOD((WeekMon+WEEKDAY($K186,2)-1)-$K186,$L186)=0,(WeekMon+WEEKDAY($K186,2)-1)&lt;=$M186),(WeekMon+WEEKDAY($K186,2)-1),""))</f>
        <v/>
      </c>
      <c r="P186" s="39" t="str">
        <f aca="false">IF($O186="","",($O186-WeekMon)*1000+ROW()-11)</f>
        <v/>
      </c>
    </row>
    <row r="187" customFormat="false" ht="15" hidden="false" customHeight="false" outlineLevel="0" collapsed="false">
      <c r="A187" s="33"/>
      <c r="B187" s="34"/>
      <c r="C187" s="33"/>
      <c r="D187" s="35"/>
      <c r="E187" s="34"/>
      <c r="F187" s="36" t="str">
        <f aca="false">IF(IF(ISNUMBER($B187),AND($B187=INT($B187),$B187&gt;=DATE(2000,1,1),$B187&lt;=DATE(2099,12,31)),FALSE()),CHOOSE(WEEKDAY($B187,2),"Monday","Tuesday","Wednesday","Thursday","Friday","Saturday","Sunday"),"")</f>
        <v/>
      </c>
      <c r="G187" s="36" t="str">
        <f aca="false">IF($J187&lt;&gt;1,"",MAX(0,INT((MIN(WinStart+83,$M187)-MAX($K187,$K187+ROUNDUP((WinStart-$K187)/$L187,0)*$L187))/$L187)+1))</f>
        <v/>
      </c>
      <c r="H187" s="37" t="str">
        <f aca="false">IF(AND($A187="",$B187="",$C187="",$D187="",$E187=""),"",IF($I187="","OK","Check details"))</f>
        <v/>
      </c>
      <c r="I187" s="38" t="str">
        <f aca="false">IF(AND($A187="",$B187="",$C187="",$D187="",$E187=""),"",TRIM(IF(TRIM($A187&amp;"")="","Label is missing. ","")&amp;IF($B187="","First visit is missing. ",IF(NOT(ISNUMBER($B187)),"First visit isn't a date (it's text). ",IF($B187&lt;&gt;INT($B187),"First visit has a time; enter a date only. ",IF(OR($B187&lt;DATE(2000,1,1),$B187&gt;DATE(2099,12,31)),"First visit must be from 2000 to 2099. ",""))))&amp;IF($C187="","Repeat every is missing. ",IF(ISNA(MATCH($C187&amp;"",{"Weekly","Every 2 weeks","Every 3 weeks","Every 4 weeks"},0)),"Repeat every must be Weekly or Every 2, 3 or 4 weeks. ",""))&amp;IF($D187="","Visit length is missing. ",IF(NOT(ISNUMBER($D187)),"Visit length must be a number of hours. ",IF($D187&lt;0,"Visit length can't be negative. ",IF($D187=0,"Visit length must be more than 0. ",IF(ABS($D187*100-ROUND($D187*100,0))&gt;0.000001,"Visit length: use up to 2 decimals. ",IF($D187&gt;24,"Visit length: 24 hours or less. ",""))))))&amp;IF($E187="","",IF(NOT(ISNUMBER($E187)),"Last visit isn't a date (it's text). ",IF($E187&lt;&gt;INT($E187),"Last visit has a time; enter a date only. ",IF(OR($E187&lt;DATE(2000,1,1),$E187&gt;DATE(2099,12,31)),"Last visit must be from 2000 to 2099. ",IF(AND(IF(ISNUMBER($B187),AND($B187=INT($B187),$B187&gt;=DATE(2000,1,1),$B187&lt;=DATE(2099,12,31)),FALSE()),$E187&lt;$B187),"Last visit is before the first visit. ","")))))))</f>
        <v/>
      </c>
      <c r="J187" s="39" t="n">
        <f aca="false">IF($H187="OK",1,0)</f>
        <v>0</v>
      </c>
      <c r="K187" s="40" t="n">
        <f aca="false">IF($J187=1,$B187,0)</f>
        <v>0</v>
      </c>
      <c r="L187" s="39" t="n">
        <f aca="false">IF($J187=1,7*MATCH($C187&amp;"",{"Weekly","Every 2 weeks","Every 3 weeks","Every 4 weeks"},0),7)</f>
        <v>7</v>
      </c>
      <c r="M187" s="40" t="n">
        <f aca="false">IF($J187=1,IF($E187="",2958465,$E187),0)</f>
        <v>0</v>
      </c>
      <c r="N187" s="39" t="n">
        <f aca="false">IF($J187=1,ROUND($D187*100,0),0)</f>
        <v>0</v>
      </c>
      <c r="O187" s="40" t="str">
        <f aca="false">IF($J187&lt;&gt;1,"",IF(AND((WeekMon+WEEKDAY($K187,2)-1)&gt;=$K187,MOD((WeekMon+WEEKDAY($K187,2)-1)-$K187,$L187)=0,(WeekMon+WEEKDAY($K187,2)-1)&lt;=$M187),(WeekMon+WEEKDAY($K187,2)-1),""))</f>
        <v/>
      </c>
      <c r="P187" s="39" t="str">
        <f aca="false">IF($O187="","",($O187-WeekMon)*1000+ROW()-11)</f>
        <v/>
      </c>
    </row>
    <row r="188" customFormat="false" ht="15" hidden="false" customHeight="false" outlineLevel="0" collapsed="false">
      <c r="A188" s="33"/>
      <c r="B188" s="34"/>
      <c r="C188" s="33"/>
      <c r="D188" s="35"/>
      <c r="E188" s="34"/>
      <c r="F188" s="36" t="str">
        <f aca="false">IF(IF(ISNUMBER($B188),AND($B188=INT($B188),$B188&gt;=DATE(2000,1,1),$B188&lt;=DATE(2099,12,31)),FALSE()),CHOOSE(WEEKDAY($B188,2),"Monday","Tuesday","Wednesday","Thursday","Friday","Saturday","Sunday"),"")</f>
        <v/>
      </c>
      <c r="G188" s="36" t="str">
        <f aca="false">IF($J188&lt;&gt;1,"",MAX(0,INT((MIN(WinStart+83,$M188)-MAX($K188,$K188+ROUNDUP((WinStart-$K188)/$L188,0)*$L188))/$L188)+1))</f>
        <v/>
      </c>
      <c r="H188" s="37" t="str">
        <f aca="false">IF(AND($A188="",$B188="",$C188="",$D188="",$E188=""),"",IF($I188="","OK","Check details"))</f>
        <v/>
      </c>
      <c r="I188" s="38" t="str">
        <f aca="false">IF(AND($A188="",$B188="",$C188="",$D188="",$E188=""),"",TRIM(IF(TRIM($A188&amp;"")="","Label is missing. ","")&amp;IF($B188="","First visit is missing. ",IF(NOT(ISNUMBER($B188)),"First visit isn't a date (it's text). ",IF($B188&lt;&gt;INT($B188),"First visit has a time; enter a date only. ",IF(OR($B188&lt;DATE(2000,1,1),$B188&gt;DATE(2099,12,31)),"First visit must be from 2000 to 2099. ",""))))&amp;IF($C188="","Repeat every is missing. ",IF(ISNA(MATCH($C188&amp;"",{"Weekly","Every 2 weeks","Every 3 weeks","Every 4 weeks"},0)),"Repeat every must be Weekly or Every 2, 3 or 4 weeks. ",""))&amp;IF($D188="","Visit length is missing. ",IF(NOT(ISNUMBER($D188)),"Visit length must be a number of hours. ",IF($D188&lt;0,"Visit length can't be negative. ",IF($D188=0,"Visit length must be more than 0. ",IF(ABS($D188*100-ROUND($D188*100,0))&gt;0.000001,"Visit length: use up to 2 decimals. ",IF($D188&gt;24,"Visit length: 24 hours or less. ",""))))))&amp;IF($E188="","",IF(NOT(ISNUMBER($E188)),"Last visit isn't a date (it's text). ",IF($E188&lt;&gt;INT($E188),"Last visit has a time; enter a date only. ",IF(OR($E188&lt;DATE(2000,1,1),$E188&gt;DATE(2099,12,31)),"Last visit must be from 2000 to 2099. ",IF(AND(IF(ISNUMBER($B188),AND($B188=INT($B188),$B188&gt;=DATE(2000,1,1),$B188&lt;=DATE(2099,12,31)),FALSE()),$E188&lt;$B188),"Last visit is before the first visit. ","")))))))</f>
        <v/>
      </c>
      <c r="J188" s="39" t="n">
        <f aca="false">IF($H188="OK",1,0)</f>
        <v>0</v>
      </c>
      <c r="K188" s="40" t="n">
        <f aca="false">IF($J188=1,$B188,0)</f>
        <v>0</v>
      </c>
      <c r="L188" s="39" t="n">
        <f aca="false">IF($J188=1,7*MATCH($C188&amp;"",{"Weekly","Every 2 weeks","Every 3 weeks","Every 4 weeks"},0),7)</f>
        <v>7</v>
      </c>
      <c r="M188" s="40" t="n">
        <f aca="false">IF($J188=1,IF($E188="",2958465,$E188),0)</f>
        <v>0</v>
      </c>
      <c r="N188" s="39" t="n">
        <f aca="false">IF($J188=1,ROUND($D188*100,0),0)</f>
        <v>0</v>
      </c>
      <c r="O188" s="40" t="str">
        <f aca="false">IF($J188&lt;&gt;1,"",IF(AND((WeekMon+WEEKDAY($K188,2)-1)&gt;=$K188,MOD((WeekMon+WEEKDAY($K188,2)-1)-$K188,$L188)=0,(WeekMon+WEEKDAY($K188,2)-1)&lt;=$M188),(WeekMon+WEEKDAY($K188,2)-1),""))</f>
        <v/>
      </c>
      <c r="P188" s="39" t="str">
        <f aca="false">IF($O188="","",($O188-WeekMon)*1000+ROW()-11)</f>
        <v/>
      </c>
    </row>
    <row r="189" customFormat="false" ht="15" hidden="false" customHeight="false" outlineLevel="0" collapsed="false">
      <c r="A189" s="33"/>
      <c r="B189" s="34"/>
      <c r="C189" s="33"/>
      <c r="D189" s="35"/>
      <c r="E189" s="34"/>
      <c r="F189" s="36" t="str">
        <f aca="false">IF(IF(ISNUMBER($B189),AND($B189=INT($B189),$B189&gt;=DATE(2000,1,1),$B189&lt;=DATE(2099,12,31)),FALSE()),CHOOSE(WEEKDAY($B189,2),"Monday","Tuesday","Wednesday","Thursday","Friday","Saturday","Sunday"),"")</f>
        <v/>
      </c>
      <c r="G189" s="36" t="str">
        <f aca="false">IF($J189&lt;&gt;1,"",MAX(0,INT((MIN(WinStart+83,$M189)-MAX($K189,$K189+ROUNDUP((WinStart-$K189)/$L189,0)*$L189))/$L189)+1))</f>
        <v/>
      </c>
      <c r="H189" s="37" t="str">
        <f aca="false">IF(AND($A189="",$B189="",$C189="",$D189="",$E189=""),"",IF($I189="","OK","Check details"))</f>
        <v/>
      </c>
      <c r="I189" s="38" t="str">
        <f aca="false">IF(AND($A189="",$B189="",$C189="",$D189="",$E189=""),"",TRIM(IF(TRIM($A189&amp;"")="","Label is missing. ","")&amp;IF($B189="","First visit is missing. ",IF(NOT(ISNUMBER($B189)),"First visit isn't a date (it's text). ",IF($B189&lt;&gt;INT($B189),"First visit has a time; enter a date only. ",IF(OR($B189&lt;DATE(2000,1,1),$B189&gt;DATE(2099,12,31)),"First visit must be from 2000 to 2099. ",""))))&amp;IF($C189="","Repeat every is missing. ",IF(ISNA(MATCH($C189&amp;"",{"Weekly","Every 2 weeks","Every 3 weeks","Every 4 weeks"},0)),"Repeat every must be Weekly or Every 2, 3 or 4 weeks. ",""))&amp;IF($D189="","Visit length is missing. ",IF(NOT(ISNUMBER($D189)),"Visit length must be a number of hours. ",IF($D189&lt;0,"Visit length can't be negative. ",IF($D189=0,"Visit length must be more than 0. ",IF(ABS($D189*100-ROUND($D189*100,0))&gt;0.000001,"Visit length: use up to 2 decimals. ",IF($D189&gt;24,"Visit length: 24 hours or less. ",""))))))&amp;IF($E189="","",IF(NOT(ISNUMBER($E189)),"Last visit isn't a date (it's text). ",IF($E189&lt;&gt;INT($E189),"Last visit has a time; enter a date only. ",IF(OR($E189&lt;DATE(2000,1,1),$E189&gt;DATE(2099,12,31)),"Last visit must be from 2000 to 2099. ",IF(AND(IF(ISNUMBER($B189),AND($B189=INT($B189),$B189&gt;=DATE(2000,1,1),$B189&lt;=DATE(2099,12,31)),FALSE()),$E189&lt;$B189),"Last visit is before the first visit. ","")))))))</f>
        <v/>
      </c>
      <c r="J189" s="39" t="n">
        <f aca="false">IF($H189="OK",1,0)</f>
        <v>0</v>
      </c>
      <c r="K189" s="40" t="n">
        <f aca="false">IF($J189=1,$B189,0)</f>
        <v>0</v>
      </c>
      <c r="L189" s="39" t="n">
        <f aca="false">IF($J189=1,7*MATCH($C189&amp;"",{"Weekly","Every 2 weeks","Every 3 weeks","Every 4 weeks"},0),7)</f>
        <v>7</v>
      </c>
      <c r="M189" s="40" t="n">
        <f aca="false">IF($J189=1,IF($E189="",2958465,$E189),0)</f>
        <v>0</v>
      </c>
      <c r="N189" s="39" t="n">
        <f aca="false">IF($J189=1,ROUND($D189*100,0),0)</f>
        <v>0</v>
      </c>
      <c r="O189" s="40" t="str">
        <f aca="false">IF($J189&lt;&gt;1,"",IF(AND((WeekMon+WEEKDAY($K189,2)-1)&gt;=$K189,MOD((WeekMon+WEEKDAY($K189,2)-1)-$K189,$L189)=0,(WeekMon+WEEKDAY($K189,2)-1)&lt;=$M189),(WeekMon+WEEKDAY($K189,2)-1),""))</f>
        <v/>
      </c>
      <c r="P189" s="39" t="str">
        <f aca="false">IF($O189="","",($O189-WeekMon)*1000+ROW()-11)</f>
        <v/>
      </c>
    </row>
    <row r="190" customFormat="false" ht="15" hidden="false" customHeight="false" outlineLevel="0" collapsed="false">
      <c r="A190" s="33"/>
      <c r="B190" s="34"/>
      <c r="C190" s="33"/>
      <c r="D190" s="35"/>
      <c r="E190" s="34"/>
      <c r="F190" s="36" t="str">
        <f aca="false">IF(IF(ISNUMBER($B190),AND($B190=INT($B190),$B190&gt;=DATE(2000,1,1),$B190&lt;=DATE(2099,12,31)),FALSE()),CHOOSE(WEEKDAY($B190,2),"Monday","Tuesday","Wednesday","Thursday","Friday","Saturday","Sunday"),"")</f>
        <v/>
      </c>
      <c r="G190" s="36" t="str">
        <f aca="false">IF($J190&lt;&gt;1,"",MAX(0,INT((MIN(WinStart+83,$M190)-MAX($K190,$K190+ROUNDUP((WinStart-$K190)/$L190,0)*$L190))/$L190)+1))</f>
        <v/>
      </c>
      <c r="H190" s="37" t="str">
        <f aca="false">IF(AND($A190="",$B190="",$C190="",$D190="",$E190=""),"",IF($I190="","OK","Check details"))</f>
        <v/>
      </c>
      <c r="I190" s="38" t="str">
        <f aca="false">IF(AND($A190="",$B190="",$C190="",$D190="",$E190=""),"",TRIM(IF(TRIM($A190&amp;"")="","Label is missing. ","")&amp;IF($B190="","First visit is missing. ",IF(NOT(ISNUMBER($B190)),"First visit isn't a date (it's text). ",IF($B190&lt;&gt;INT($B190),"First visit has a time; enter a date only. ",IF(OR($B190&lt;DATE(2000,1,1),$B190&gt;DATE(2099,12,31)),"First visit must be from 2000 to 2099. ",""))))&amp;IF($C190="","Repeat every is missing. ",IF(ISNA(MATCH($C190&amp;"",{"Weekly","Every 2 weeks","Every 3 weeks","Every 4 weeks"},0)),"Repeat every must be Weekly or Every 2, 3 or 4 weeks. ",""))&amp;IF($D190="","Visit length is missing. ",IF(NOT(ISNUMBER($D190)),"Visit length must be a number of hours. ",IF($D190&lt;0,"Visit length can't be negative. ",IF($D190=0,"Visit length must be more than 0. ",IF(ABS($D190*100-ROUND($D190*100,0))&gt;0.000001,"Visit length: use up to 2 decimals. ",IF($D190&gt;24,"Visit length: 24 hours or less. ",""))))))&amp;IF($E190="","",IF(NOT(ISNUMBER($E190)),"Last visit isn't a date (it's text). ",IF($E190&lt;&gt;INT($E190),"Last visit has a time; enter a date only. ",IF(OR($E190&lt;DATE(2000,1,1),$E190&gt;DATE(2099,12,31)),"Last visit must be from 2000 to 2099. ",IF(AND(IF(ISNUMBER($B190),AND($B190=INT($B190),$B190&gt;=DATE(2000,1,1),$B190&lt;=DATE(2099,12,31)),FALSE()),$E190&lt;$B190),"Last visit is before the first visit. ","")))))))</f>
        <v/>
      </c>
      <c r="J190" s="39" t="n">
        <f aca="false">IF($H190="OK",1,0)</f>
        <v>0</v>
      </c>
      <c r="K190" s="40" t="n">
        <f aca="false">IF($J190=1,$B190,0)</f>
        <v>0</v>
      </c>
      <c r="L190" s="39" t="n">
        <f aca="false">IF($J190=1,7*MATCH($C190&amp;"",{"Weekly","Every 2 weeks","Every 3 weeks","Every 4 weeks"},0),7)</f>
        <v>7</v>
      </c>
      <c r="M190" s="40" t="n">
        <f aca="false">IF($J190=1,IF($E190="",2958465,$E190),0)</f>
        <v>0</v>
      </c>
      <c r="N190" s="39" t="n">
        <f aca="false">IF($J190=1,ROUND($D190*100,0),0)</f>
        <v>0</v>
      </c>
      <c r="O190" s="40" t="str">
        <f aca="false">IF($J190&lt;&gt;1,"",IF(AND((WeekMon+WEEKDAY($K190,2)-1)&gt;=$K190,MOD((WeekMon+WEEKDAY($K190,2)-1)-$K190,$L190)=0,(WeekMon+WEEKDAY($K190,2)-1)&lt;=$M190),(WeekMon+WEEKDAY($K190,2)-1),""))</f>
        <v/>
      </c>
      <c r="P190" s="39" t="str">
        <f aca="false">IF($O190="","",($O190-WeekMon)*1000+ROW()-11)</f>
        <v/>
      </c>
    </row>
    <row r="191" customFormat="false" ht="15" hidden="false" customHeight="false" outlineLevel="0" collapsed="false">
      <c r="A191" s="33"/>
      <c r="B191" s="34"/>
      <c r="C191" s="33"/>
      <c r="D191" s="35"/>
      <c r="E191" s="34"/>
      <c r="F191" s="36" t="str">
        <f aca="false">IF(IF(ISNUMBER($B191),AND($B191=INT($B191),$B191&gt;=DATE(2000,1,1),$B191&lt;=DATE(2099,12,31)),FALSE()),CHOOSE(WEEKDAY($B191,2),"Monday","Tuesday","Wednesday","Thursday","Friday","Saturday","Sunday"),"")</f>
        <v/>
      </c>
      <c r="G191" s="36" t="str">
        <f aca="false">IF($J191&lt;&gt;1,"",MAX(0,INT((MIN(WinStart+83,$M191)-MAX($K191,$K191+ROUNDUP((WinStart-$K191)/$L191,0)*$L191))/$L191)+1))</f>
        <v/>
      </c>
      <c r="H191" s="37" t="str">
        <f aca="false">IF(AND($A191="",$B191="",$C191="",$D191="",$E191=""),"",IF($I191="","OK","Check details"))</f>
        <v/>
      </c>
      <c r="I191" s="38" t="str">
        <f aca="false">IF(AND($A191="",$B191="",$C191="",$D191="",$E191=""),"",TRIM(IF(TRIM($A191&amp;"")="","Label is missing. ","")&amp;IF($B191="","First visit is missing. ",IF(NOT(ISNUMBER($B191)),"First visit isn't a date (it's text). ",IF($B191&lt;&gt;INT($B191),"First visit has a time; enter a date only. ",IF(OR($B191&lt;DATE(2000,1,1),$B191&gt;DATE(2099,12,31)),"First visit must be from 2000 to 2099. ",""))))&amp;IF($C191="","Repeat every is missing. ",IF(ISNA(MATCH($C191&amp;"",{"Weekly","Every 2 weeks","Every 3 weeks","Every 4 weeks"},0)),"Repeat every must be Weekly or Every 2, 3 or 4 weeks. ",""))&amp;IF($D191="","Visit length is missing. ",IF(NOT(ISNUMBER($D191)),"Visit length must be a number of hours. ",IF($D191&lt;0,"Visit length can't be negative. ",IF($D191=0,"Visit length must be more than 0. ",IF(ABS($D191*100-ROUND($D191*100,0))&gt;0.000001,"Visit length: use up to 2 decimals. ",IF($D191&gt;24,"Visit length: 24 hours or less. ",""))))))&amp;IF($E191="","",IF(NOT(ISNUMBER($E191)),"Last visit isn't a date (it's text). ",IF($E191&lt;&gt;INT($E191),"Last visit has a time; enter a date only. ",IF(OR($E191&lt;DATE(2000,1,1),$E191&gt;DATE(2099,12,31)),"Last visit must be from 2000 to 2099. ",IF(AND(IF(ISNUMBER($B191),AND($B191=INT($B191),$B191&gt;=DATE(2000,1,1),$B191&lt;=DATE(2099,12,31)),FALSE()),$E191&lt;$B191),"Last visit is before the first visit. ","")))))))</f>
        <v/>
      </c>
      <c r="J191" s="39" t="n">
        <f aca="false">IF($H191="OK",1,0)</f>
        <v>0</v>
      </c>
      <c r="K191" s="40" t="n">
        <f aca="false">IF($J191=1,$B191,0)</f>
        <v>0</v>
      </c>
      <c r="L191" s="39" t="n">
        <f aca="false">IF($J191=1,7*MATCH($C191&amp;"",{"Weekly","Every 2 weeks","Every 3 weeks","Every 4 weeks"},0),7)</f>
        <v>7</v>
      </c>
      <c r="M191" s="40" t="n">
        <f aca="false">IF($J191=1,IF($E191="",2958465,$E191),0)</f>
        <v>0</v>
      </c>
      <c r="N191" s="39" t="n">
        <f aca="false">IF($J191=1,ROUND($D191*100,0),0)</f>
        <v>0</v>
      </c>
      <c r="O191" s="40" t="str">
        <f aca="false">IF($J191&lt;&gt;1,"",IF(AND((WeekMon+WEEKDAY($K191,2)-1)&gt;=$K191,MOD((WeekMon+WEEKDAY($K191,2)-1)-$K191,$L191)=0,(WeekMon+WEEKDAY($K191,2)-1)&lt;=$M191),(WeekMon+WEEKDAY($K191,2)-1),""))</f>
        <v/>
      </c>
      <c r="P191" s="39" t="str">
        <f aca="false">IF($O191="","",($O191-WeekMon)*1000+ROW()-11)</f>
        <v/>
      </c>
    </row>
    <row r="192" customFormat="false" ht="15" hidden="false" customHeight="false" outlineLevel="0" collapsed="false">
      <c r="A192" s="33"/>
      <c r="B192" s="34"/>
      <c r="C192" s="33"/>
      <c r="D192" s="35"/>
      <c r="E192" s="34"/>
      <c r="F192" s="36" t="str">
        <f aca="false">IF(IF(ISNUMBER($B192),AND($B192=INT($B192),$B192&gt;=DATE(2000,1,1),$B192&lt;=DATE(2099,12,31)),FALSE()),CHOOSE(WEEKDAY($B192,2),"Monday","Tuesday","Wednesday","Thursday","Friday","Saturday","Sunday"),"")</f>
        <v/>
      </c>
      <c r="G192" s="36" t="str">
        <f aca="false">IF($J192&lt;&gt;1,"",MAX(0,INT((MIN(WinStart+83,$M192)-MAX($K192,$K192+ROUNDUP((WinStart-$K192)/$L192,0)*$L192))/$L192)+1))</f>
        <v/>
      </c>
      <c r="H192" s="37" t="str">
        <f aca="false">IF(AND($A192="",$B192="",$C192="",$D192="",$E192=""),"",IF($I192="","OK","Check details"))</f>
        <v/>
      </c>
      <c r="I192" s="38" t="str">
        <f aca="false">IF(AND($A192="",$B192="",$C192="",$D192="",$E192=""),"",TRIM(IF(TRIM($A192&amp;"")="","Label is missing. ","")&amp;IF($B192="","First visit is missing. ",IF(NOT(ISNUMBER($B192)),"First visit isn't a date (it's text). ",IF($B192&lt;&gt;INT($B192),"First visit has a time; enter a date only. ",IF(OR($B192&lt;DATE(2000,1,1),$B192&gt;DATE(2099,12,31)),"First visit must be from 2000 to 2099. ",""))))&amp;IF($C192="","Repeat every is missing. ",IF(ISNA(MATCH($C192&amp;"",{"Weekly","Every 2 weeks","Every 3 weeks","Every 4 weeks"},0)),"Repeat every must be Weekly or Every 2, 3 or 4 weeks. ",""))&amp;IF($D192="","Visit length is missing. ",IF(NOT(ISNUMBER($D192)),"Visit length must be a number of hours. ",IF($D192&lt;0,"Visit length can't be negative. ",IF($D192=0,"Visit length must be more than 0. ",IF(ABS($D192*100-ROUND($D192*100,0))&gt;0.000001,"Visit length: use up to 2 decimals. ",IF($D192&gt;24,"Visit length: 24 hours or less. ",""))))))&amp;IF($E192="","",IF(NOT(ISNUMBER($E192)),"Last visit isn't a date (it's text). ",IF($E192&lt;&gt;INT($E192),"Last visit has a time; enter a date only. ",IF(OR($E192&lt;DATE(2000,1,1),$E192&gt;DATE(2099,12,31)),"Last visit must be from 2000 to 2099. ",IF(AND(IF(ISNUMBER($B192),AND($B192=INT($B192),$B192&gt;=DATE(2000,1,1),$B192&lt;=DATE(2099,12,31)),FALSE()),$E192&lt;$B192),"Last visit is before the first visit. ","")))))))</f>
        <v/>
      </c>
      <c r="J192" s="39" t="n">
        <f aca="false">IF($H192="OK",1,0)</f>
        <v>0</v>
      </c>
      <c r="K192" s="40" t="n">
        <f aca="false">IF($J192=1,$B192,0)</f>
        <v>0</v>
      </c>
      <c r="L192" s="39" t="n">
        <f aca="false">IF($J192=1,7*MATCH($C192&amp;"",{"Weekly","Every 2 weeks","Every 3 weeks","Every 4 weeks"},0),7)</f>
        <v>7</v>
      </c>
      <c r="M192" s="40" t="n">
        <f aca="false">IF($J192=1,IF($E192="",2958465,$E192),0)</f>
        <v>0</v>
      </c>
      <c r="N192" s="39" t="n">
        <f aca="false">IF($J192=1,ROUND($D192*100,0),0)</f>
        <v>0</v>
      </c>
      <c r="O192" s="40" t="str">
        <f aca="false">IF($J192&lt;&gt;1,"",IF(AND((WeekMon+WEEKDAY($K192,2)-1)&gt;=$K192,MOD((WeekMon+WEEKDAY($K192,2)-1)-$K192,$L192)=0,(WeekMon+WEEKDAY($K192,2)-1)&lt;=$M192),(WeekMon+WEEKDAY($K192,2)-1),""))</f>
        <v/>
      </c>
      <c r="P192" s="39" t="str">
        <f aca="false">IF($O192="","",($O192-WeekMon)*1000+ROW()-11)</f>
        <v/>
      </c>
    </row>
    <row r="193" customFormat="false" ht="15" hidden="false" customHeight="false" outlineLevel="0" collapsed="false">
      <c r="A193" s="33"/>
      <c r="B193" s="34"/>
      <c r="C193" s="33"/>
      <c r="D193" s="35"/>
      <c r="E193" s="34"/>
      <c r="F193" s="36" t="str">
        <f aca="false">IF(IF(ISNUMBER($B193),AND($B193=INT($B193),$B193&gt;=DATE(2000,1,1),$B193&lt;=DATE(2099,12,31)),FALSE()),CHOOSE(WEEKDAY($B193,2),"Monday","Tuesday","Wednesday","Thursday","Friday","Saturday","Sunday"),"")</f>
        <v/>
      </c>
      <c r="G193" s="36" t="str">
        <f aca="false">IF($J193&lt;&gt;1,"",MAX(0,INT((MIN(WinStart+83,$M193)-MAX($K193,$K193+ROUNDUP((WinStart-$K193)/$L193,0)*$L193))/$L193)+1))</f>
        <v/>
      </c>
      <c r="H193" s="37" t="str">
        <f aca="false">IF(AND($A193="",$B193="",$C193="",$D193="",$E193=""),"",IF($I193="","OK","Check details"))</f>
        <v/>
      </c>
      <c r="I193" s="38" t="str">
        <f aca="false">IF(AND($A193="",$B193="",$C193="",$D193="",$E193=""),"",TRIM(IF(TRIM($A193&amp;"")="","Label is missing. ","")&amp;IF($B193="","First visit is missing. ",IF(NOT(ISNUMBER($B193)),"First visit isn't a date (it's text). ",IF($B193&lt;&gt;INT($B193),"First visit has a time; enter a date only. ",IF(OR($B193&lt;DATE(2000,1,1),$B193&gt;DATE(2099,12,31)),"First visit must be from 2000 to 2099. ",""))))&amp;IF($C193="","Repeat every is missing. ",IF(ISNA(MATCH($C193&amp;"",{"Weekly","Every 2 weeks","Every 3 weeks","Every 4 weeks"},0)),"Repeat every must be Weekly or Every 2, 3 or 4 weeks. ",""))&amp;IF($D193="","Visit length is missing. ",IF(NOT(ISNUMBER($D193)),"Visit length must be a number of hours. ",IF($D193&lt;0,"Visit length can't be negative. ",IF($D193=0,"Visit length must be more than 0. ",IF(ABS($D193*100-ROUND($D193*100,0))&gt;0.000001,"Visit length: use up to 2 decimals. ",IF($D193&gt;24,"Visit length: 24 hours or less. ",""))))))&amp;IF($E193="","",IF(NOT(ISNUMBER($E193)),"Last visit isn't a date (it's text). ",IF($E193&lt;&gt;INT($E193),"Last visit has a time; enter a date only. ",IF(OR($E193&lt;DATE(2000,1,1),$E193&gt;DATE(2099,12,31)),"Last visit must be from 2000 to 2099. ",IF(AND(IF(ISNUMBER($B193),AND($B193=INT($B193),$B193&gt;=DATE(2000,1,1),$B193&lt;=DATE(2099,12,31)),FALSE()),$E193&lt;$B193),"Last visit is before the first visit. ","")))))))</f>
        <v/>
      </c>
      <c r="J193" s="39" t="n">
        <f aca="false">IF($H193="OK",1,0)</f>
        <v>0</v>
      </c>
      <c r="K193" s="40" t="n">
        <f aca="false">IF($J193=1,$B193,0)</f>
        <v>0</v>
      </c>
      <c r="L193" s="39" t="n">
        <f aca="false">IF($J193=1,7*MATCH($C193&amp;"",{"Weekly","Every 2 weeks","Every 3 weeks","Every 4 weeks"},0),7)</f>
        <v>7</v>
      </c>
      <c r="M193" s="40" t="n">
        <f aca="false">IF($J193=1,IF($E193="",2958465,$E193),0)</f>
        <v>0</v>
      </c>
      <c r="N193" s="39" t="n">
        <f aca="false">IF($J193=1,ROUND($D193*100,0),0)</f>
        <v>0</v>
      </c>
      <c r="O193" s="40" t="str">
        <f aca="false">IF($J193&lt;&gt;1,"",IF(AND((WeekMon+WEEKDAY($K193,2)-1)&gt;=$K193,MOD((WeekMon+WEEKDAY($K193,2)-1)-$K193,$L193)=0,(WeekMon+WEEKDAY($K193,2)-1)&lt;=$M193),(WeekMon+WEEKDAY($K193,2)-1),""))</f>
        <v/>
      </c>
      <c r="P193" s="39" t="str">
        <f aca="false">IF($O193="","",($O193-WeekMon)*1000+ROW()-11)</f>
        <v/>
      </c>
    </row>
    <row r="194" customFormat="false" ht="15" hidden="false" customHeight="false" outlineLevel="0" collapsed="false">
      <c r="A194" s="33"/>
      <c r="B194" s="34"/>
      <c r="C194" s="33"/>
      <c r="D194" s="35"/>
      <c r="E194" s="34"/>
      <c r="F194" s="36" t="str">
        <f aca="false">IF(IF(ISNUMBER($B194),AND($B194=INT($B194),$B194&gt;=DATE(2000,1,1),$B194&lt;=DATE(2099,12,31)),FALSE()),CHOOSE(WEEKDAY($B194,2),"Monday","Tuesday","Wednesday","Thursday","Friday","Saturday","Sunday"),"")</f>
        <v/>
      </c>
      <c r="G194" s="36" t="str">
        <f aca="false">IF($J194&lt;&gt;1,"",MAX(0,INT((MIN(WinStart+83,$M194)-MAX($K194,$K194+ROUNDUP((WinStart-$K194)/$L194,0)*$L194))/$L194)+1))</f>
        <v/>
      </c>
      <c r="H194" s="37" t="str">
        <f aca="false">IF(AND($A194="",$B194="",$C194="",$D194="",$E194=""),"",IF($I194="","OK","Check details"))</f>
        <v/>
      </c>
      <c r="I194" s="38" t="str">
        <f aca="false">IF(AND($A194="",$B194="",$C194="",$D194="",$E194=""),"",TRIM(IF(TRIM($A194&amp;"")="","Label is missing. ","")&amp;IF($B194="","First visit is missing. ",IF(NOT(ISNUMBER($B194)),"First visit isn't a date (it's text). ",IF($B194&lt;&gt;INT($B194),"First visit has a time; enter a date only. ",IF(OR($B194&lt;DATE(2000,1,1),$B194&gt;DATE(2099,12,31)),"First visit must be from 2000 to 2099. ",""))))&amp;IF($C194="","Repeat every is missing. ",IF(ISNA(MATCH($C194&amp;"",{"Weekly","Every 2 weeks","Every 3 weeks","Every 4 weeks"},0)),"Repeat every must be Weekly or Every 2, 3 or 4 weeks. ",""))&amp;IF($D194="","Visit length is missing. ",IF(NOT(ISNUMBER($D194)),"Visit length must be a number of hours. ",IF($D194&lt;0,"Visit length can't be negative. ",IF($D194=0,"Visit length must be more than 0. ",IF(ABS($D194*100-ROUND($D194*100,0))&gt;0.000001,"Visit length: use up to 2 decimals. ",IF($D194&gt;24,"Visit length: 24 hours or less. ",""))))))&amp;IF($E194="","",IF(NOT(ISNUMBER($E194)),"Last visit isn't a date (it's text). ",IF($E194&lt;&gt;INT($E194),"Last visit has a time; enter a date only. ",IF(OR($E194&lt;DATE(2000,1,1),$E194&gt;DATE(2099,12,31)),"Last visit must be from 2000 to 2099. ",IF(AND(IF(ISNUMBER($B194),AND($B194=INT($B194),$B194&gt;=DATE(2000,1,1),$B194&lt;=DATE(2099,12,31)),FALSE()),$E194&lt;$B194),"Last visit is before the first visit. ","")))))))</f>
        <v/>
      </c>
      <c r="J194" s="39" t="n">
        <f aca="false">IF($H194="OK",1,0)</f>
        <v>0</v>
      </c>
      <c r="K194" s="40" t="n">
        <f aca="false">IF($J194=1,$B194,0)</f>
        <v>0</v>
      </c>
      <c r="L194" s="39" t="n">
        <f aca="false">IF($J194=1,7*MATCH($C194&amp;"",{"Weekly","Every 2 weeks","Every 3 weeks","Every 4 weeks"},0),7)</f>
        <v>7</v>
      </c>
      <c r="M194" s="40" t="n">
        <f aca="false">IF($J194=1,IF($E194="",2958465,$E194),0)</f>
        <v>0</v>
      </c>
      <c r="N194" s="39" t="n">
        <f aca="false">IF($J194=1,ROUND($D194*100,0),0)</f>
        <v>0</v>
      </c>
      <c r="O194" s="40" t="str">
        <f aca="false">IF($J194&lt;&gt;1,"",IF(AND((WeekMon+WEEKDAY($K194,2)-1)&gt;=$K194,MOD((WeekMon+WEEKDAY($K194,2)-1)-$K194,$L194)=0,(WeekMon+WEEKDAY($K194,2)-1)&lt;=$M194),(WeekMon+WEEKDAY($K194,2)-1),""))</f>
        <v/>
      </c>
      <c r="P194" s="39" t="str">
        <f aca="false">IF($O194="","",($O194-WeekMon)*1000+ROW()-11)</f>
        <v/>
      </c>
    </row>
    <row r="195" customFormat="false" ht="15" hidden="false" customHeight="false" outlineLevel="0" collapsed="false">
      <c r="A195" s="33"/>
      <c r="B195" s="34"/>
      <c r="C195" s="33"/>
      <c r="D195" s="35"/>
      <c r="E195" s="34"/>
      <c r="F195" s="36" t="str">
        <f aca="false">IF(IF(ISNUMBER($B195),AND($B195=INT($B195),$B195&gt;=DATE(2000,1,1),$B195&lt;=DATE(2099,12,31)),FALSE()),CHOOSE(WEEKDAY($B195,2),"Monday","Tuesday","Wednesday","Thursday","Friday","Saturday","Sunday"),"")</f>
        <v/>
      </c>
      <c r="G195" s="36" t="str">
        <f aca="false">IF($J195&lt;&gt;1,"",MAX(0,INT((MIN(WinStart+83,$M195)-MAX($K195,$K195+ROUNDUP((WinStart-$K195)/$L195,0)*$L195))/$L195)+1))</f>
        <v/>
      </c>
      <c r="H195" s="37" t="str">
        <f aca="false">IF(AND($A195="",$B195="",$C195="",$D195="",$E195=""),"",IF($I195="","OK","Check details"))</f>
        <v/>
      </c>
      <c r="I195" s="38" t="str">
        <f aca="false">IF(AND($A195="",$B195="",$C195="",$D195="",$E195=""),"",TRIM(IF(TRIM($A195&amp;"")="","Label is missing. ","")&amp;IF($B195="","First visit is missing. ",IF(NOT(ISNUMBER($B195)),"First visit isn't a date (it's text). ",IF($B195&lt;&gt;INT($B195),"First visit has a time; enter a date only. ",IF(OR($B195&lt;DATE(2000,1,1),$B195&gt;DATE(2099,12,31)),"First visit must be from 2000 to 2099. ",""))))&amp;IF($C195="","Repeat every is missing. ",IF(ISNA(MATCH($C195&amp;"",{"Weekly","Every 2 weeks","Every 3 weeks","Every 4 weeks"},0)),"Repeat every must be Weekly or Every 2, 3 or 4 weeks. ",""))&amp;IF($D195="","Visit length is missing. ",IF(NOT(ISNUMBER($D195)),"Visit length must be a number of hours. ",IF($D195&lt;0,"Visit length can't be negative. ",IF($D195=0,"Visit length must be more than 0. ",IF(ABS($D195*100-ROUND($D195*100,0))&gt;0.000001,"Visit length: use up to 2 decimals. ",IF($D195&gt;24,"Visit length: 24 hours or less. ",""))))))&amp;IF($E195="","",IF(NOT(ISNUMBER($E195)),"Last visit isn't a date (it's text). ",IF($E195&lt;&gt;INT($E195),"Last visit has a time; enter a date only. ",IF(OR($E195&lt;DATE(2000,1,1),$E195&gt;DATE(2099,12,31)),"Last visit must be from 2000 to 2099. ",IF(AND(IF(ISNUMBER($B195),AND($B195=INT($B195),$B195&gt;=DATE(2000,1,1),$B195&lt;=DATE(2099,12,31)),FALSE()),$E195&lt;$B195),"Last visit is before the first visit. ","")))))))</f>
        <v/>
      </c>
      <c r="J195" s="39" t="n">
        <f aca="false">IF($H195="OK",1,0)</f>
        <v>0</v>
      </c>
      <c r="K195" s="40" t="n">
        <f aca="false">IF($J195=1,$B195,0)</f>
        <v>0</v>
      </c>
      <c r="L195" s="39" t="n">
        <f aca="false">IF($J195=1,7*MATCH($C195&amp;"",{"Weekly","Every 2 weeks","Every 3 weeks","Every 4 weeks"},0),7)</f>
        <v>7</v>
      </c>
      <c r="M195" s="40" t="n">
        <f aca="false">IF($J195=1,IF($E195="",2958465,$E195),0)</f>
        <v>0</v>
      </c>
      <c r="N195" s="39" t="n">
        <f aca="false">IF($J195=1,ROUND($D195*100,0),0)</f>
        <v>0</v>
      </c>
      <c r="O195" s="40" t="str">
        <f aca="false">IF($J195&lt;&gt;1,"",IF(AND((WeekMon+WEEKDAY($K195,2)-1)&gt;=$K195,MOD((WeekMon+WEEKDAY($K195,2)-1)-$K195,$L195)=0,(WeekMon+WEEKDAY($K195,2)-1)&lt;=$M195),(WeekMon+WEEKDAY($K195,2)-1),""))</f>
        <v/>
      </c>
      <c r="P195" s="39" t="str">
        <f aca="false">IF($O195="","",($O195-WeekMon)*1000+ROW()-11)</f>
        <v/>
      </c>
    </row>
    <row r="196" customFormat="false" ht="15" hidden="false" customHeight="false" outlineLevel="0" collapsed="false">
      <c r="A196" s="33"/>
      <c r="B196" s="34"/>
      <c r="C196" s="33"/>
      <c r="D196" s="35"/>
      <c r="E196" s="34"/>
      <c r="F196" s="36" t="str">
        <f aca="false">IF(IF(ISNUMBER($B196),AND($B196=INT($B196),$B196&gt;=DATE(2000,1,1),$B196&lt;=DATE(2099,12,31)),FALSE()),CHOOSE(WEEKDAY($B196,2),"Monday","Tuesday","Wednesday","Thursday","Friday","Saturday","Sunday"),"")</f>
        <v/>
      </c>
      <c r="G196" s="36" t="str">
        <f aca="false">IF($J196&lt;&gt;1,"",MAX(0,INT((MIN(WinStart+83,$M196)-MAX($K196,$K196+ROUNDUP((WinStart-$K196)/$L196,0)*$L196))/$L196)+1))</f>
        <v/>
      </c>
      <c r="H196" s="37" t="str">
        <f aca="false">IF(AND($A196="",$B196="",$C196="",$D196="",$E196=""),"",IF($I196="","OK","Check details"))</f>
        <v/>
      </c>
      <c r="I196" s="38" t="str">
        <f aca="false">IF(AND($A196="",$B196="",$C196="",$D196="",$E196=""),"",TRIM(IF(TRIM($A196&amp;"")="","Label is missing. ","")&amp;IF($B196="","First visit is missing. ",IF(NOT(ISNUMBER($B196)),"First visit isn't a date (it's text). ",IF($B196&lt;&gt;INT($B196),"First visit has a time; enter a date only. ",IF(OR($B196&lt;DATE(2000,1,1),$B196&gt;DATE(2099,12,31)),"First visit must be from 2000 to 2099. ",""))))&amp;IF($C196="","Repeat every is missing. ",IF(ISNA(MATCH($C196&amp;"",{"Weekly","Every 2 weeks","Every 3 weeks","Every 4 weeks"},0)),"Repeat every must be Weekly or Every 2, 3 or 4 weeks. ",""))&amp;IF($D196="","Visit length is missing. ",IF(NOT(ISNUMBER($D196)),"Visit length must be a number of hours. ",IF($D196&lt;0,"Visit length can't be negative. ",IF($D196=0,"Visit length must be more than 0. ",IF(ABS($D196*100-ROUND($D196*100,0))&gt;0.000001,"Visit length: use up to 2 decimals. ",IF($D196&gt;24,"Visit length: 24 hours or less. ",""))))))&amp;IF($E196="","",IF(NOT(ISNUMBER($E196)),"Last visit isn't a date (it's text). ",IF($E196&lt;&gt;INT($E196),"Last visit has a time; enter a date only. ",IF(OR($E196&lt;DATE(2000,1,1),$E196&gt;DATE(2099,12,31)),"Last visit must be from 2000 to 2099. ",IF(AND(IF(ISNUMBER($B196),AND($B196=INT($B196),$B196&gt;=DATE(2000,1,1),$B196&lt;=DATE(2099,12,31)),FALSE()),$E196&lt;$B196),"Last visit is before the first visit. ","")))))))</f>
        <v/>
      </c>
      <c r="J196" s="39" t="n">
        <f aca="false">IF($H196="OK",1,0)</f>
        <v>0</v>
      </c>
      <c r="K196" s="40" t="n">
        <f aca="false">IF($J196=1,$B196,0)</f>
        <v>0</v>
      </c>
      <c r="L196" s="39" t="n">
        <f aca="false">IF($J196=1,7*MATCH($C196&amp;"",{"Weekly","Every 2 weeks","Every 3 weeks","Every 4 weeks"},0),7)</f>
        <v>7</v>
      </c>
      <c r="M196" s="40" t="n">
        <f aca="false">IF($J196=1,IF($E196="",2958465,$E196),0)</f>
        <v>0</v>
      </c>
      <c r="N196" s="39" t="n">
        <f aca="false">IF($J196=1,ROUND($D196*100,0),0)</f>
        <v>0</v>
      </c>
      <c r="O196" s="40" t="str">
        <f aca="false">IF($J196&lt;&gt;1,"",IF(AND((WeekMon+WEEKDAY($K196,2)-1)&gt;=$K196,MOD((WeekMon+WEEKDAY($K196,2)-1)-$K196,$L196)=0,(WeekMon+WEEKDAY($K196,2)-1)&lt;=$M196),(WeekMon+WEEKDAY($K196,2)-1),""))</f>
        <v/>
      </c>
      <c r="P196" s="39" t="str">
        <f aca="false">IF($O196="","",($O196-WeekMon)*1000+ROW()-11)</f>
        <v/>
      </c>
    </row>
    <row r="197" customFormat="false" ht="15" hidden="false" customHeight="false" outlineLevel="0" collapsed="false">
      <c r="A197" s="33"/>
      <c r="B197" s="34"/>
      <c r="C197" s="33"/>
      <c r="D197" s="35"/>
      <c r="E197" s="34"/>
      <c r="F197" s="36" t="str">
        <f aca="false">IF(IF(ISNUMBER($B197),AND($B197=INT($B197),$B197&gt;=DATE(2000,1,1),$B197&lt;=DATE(2099,12,31)),FALSE()),CHOOSE(WEEKDAY($B197,2),"Monday","Tuesday","Wednesday","Thursday","Friday","Saturday","Sunday"),"")</f>
        <v/>
      </c>
      <c r="G197" s="36" t="str">
        <f aca="false">IF($J197&lt;&gt;1,"",MAX(0,INT((MIN(WinStart+83,$M197)-MAX($K197,$K197+ROUNDUP((WinStart-$K197)/$L197,0)*$L197))/$L197)+1))</f>
        <v/>
      </c>
      <c r="H197" s="37" t="str">
        <f aca="false">IF(AND($A197="",$B197="",$C197="",$D197="",$E197=""),"",IF($I197="","OK","Check details"))</f>
        <v/>
      </c>
      <c r="I197" s="38" t="str">
        <f aca="false">IF(AND($A197="",$B197="",$C197="",$D197="",$E197=""),"",TRIM(IF(TRIM($A197&amp;"")="","Label is missing. ","")&amp;IF($B197="","First visit is missing. ",IF(NOT(ISNUMBER($B197)),"First visit isn't a date (it's text). ",IF($B197&lt;&gt;INT($B197),"First visit has a time; enter a date only. ",IF(OR($B197&lt;DATE(2000,1,1),$B197&gt;DATE(2099,12,31)),"First visit must be from 2000 to 2099. ",""))))&amp;IF($C197="","Repeat every is missing. ",IF(ISNA(MATCH($C197&amp;"",{"Weekly","Every 2 weeks","Every 3 weeks","Every 4 weeks"},0)),"Repeat every must be Weekly or Every 2, 3 or 4 weeks. ",""))&amp;IF($D197="","Visit length is missing. ",IF(NOT(ISNUMBER($D197)),"Visit length must be a number of hours. ",IF($D197&lt;0,"Visit length can't be negative. ",IF($D197=0,"Visit length must be more than 0. ",IF(ABS($D197*100-ROUND($D197*100,0))&gt;0.000001,"Visit length: use up to 2 decimals. ",IF($D197&gt;24,"Visit length: 24 hours or less. ",""))))))&amp;IF($E197="","",IF(NOT(ISNUMBER($E197)),"Last visit isn't a date (it's text). ",IF($E197&lt;&gt;INT($E197),"Last visit has a time; enter a date only. ",IF(OR($E197&lt;DATE(2000,1,1),$E197&gt;DATE(2099,12,31)),"Last visit must be from 2000 to 2099. ",IF(AND(IF(ISNUMBER($B197),AND($B197=INT($B197),$B197&gt;=DATE(2000,1,1),$B197&lt;=DATE(2099,12,31)),FALSE()),$E197&lt;$B197),"Last visit is before the first visit. ","")))))))</f>
        <v/>
      </c>
      <c r="J197" s="39" t="n">
        <f aca="false">IF($H197="OK",1,0)</f>
        <v>0</v>
      </c>
      <c r="K197" s="40" t="n">
        <f aca="false">IF($J197=1,$B197,0)</f>
        <v>0</v>
      </c>
      <c r="L197" s="39" t="n">
        <f aca="false">IF($J197=1,7*MATCH($C197&amp;"",{"Weekly","Every 2 weeks","Every 3 weeks","Every 4 weeks"},0),7)</f>
        <v>7</v>
      </c>
      <c r="M197" s="40" t="n">
        <f aca="false">IF($J197=1,IF($E197="",2958465,$E197),0)</f>
        <v>0</v>
      </c>
      <c r="N197" s="39" t="n">
        <f aca="false">IF($J197=1,ROUND($D197*100,0),0)</f>
        <v>0</v>
      </c>
      <c r="O197" s="40" t="str">
        <f aca="false">IF($J197&lt;&gt;1,"",IF(AND((WeekMon+WEEKDAY($K197,2)-1)&gt;=$K197,MOD((WeekMon+WEEKDAY($K197,2)-1)-$K197,$L197)=0,(WeekMon+WEEKDAY($K197,2)-1)&lt;=$M197),(WeekMon+WEEKDAY($K197,2)-1),""))</f>
        <v/>
      </c>
      <c r="P197" s="39" t="str">
        <f aca="false">IF($O197="","",($O197-WeekMon)*1000+ROW()-11)</f>
        <v/>
      </c>
    </row>
    <row r="198" customFormat="false" ht="15" hidden="false" customHeight="false" outlineLevel="0" collapsed="false">
      <c r="A198" s="33"/>
      <c r="B198" s="34"/>
      <c r="C198" s="33"/>
      <c r="D198" s="35"/>
      <c r="E198" s="34"/>
      <c r="F198" s="36" t="str">
        <f aca="false">IF(IF(ISNUMBER($B198),AND($B198=INT($B198),$B198&gt;=DATE(2000,1,1),$B198&lt;=DATE(2099,12,31)),FALSE()),CHOOSE(WEEKDAY($B198,2),"Monday","Tuesday","Wednesday","Thursday","Friday","Saturday","Sunday"),"")</f>
        <v/>
      </c>
      <c r="G198" s="36" t="str">
        <f aca="false">IF($J198&lt;&gt;1,"",MAX(0,INT((MIN(WinStart+83,$M198)-MAX($K198,$K198+ROUNDUP((WinStart-$K198)/$L198,0)*$L198))/$L198)+1))</f>
        <v/>
      </c>
      <c r="H198" s="37" t="str">
        <f aca="false">IF(AND($A198="",$B198="",$C198="",$D198="",$E198=""),"",IF($I198="","OK","Check details"))</f>
        <v/>
      </c>
      <c r="I198" s="38" t="str">
        <f aca="false">IF(AND($A198="",$B198="",$C198="",$D198="",$E198=""),"",TRIM(IF(TRIM($A198&amp;"")="","Label is missing. ","")&amp;IF($B198="","First visit is missing. ",IF(NOT(ISNUMBER($B198)),"First visit isn't a date (it's text). ",IF($B198&lt;&gt;INT($B198),"First visit has a time; enter a date only. ",IF(OR($B198&lt;DATE(2000,1,1),$B198&gt;DATE(2099,12,31)),"First visit must be from 2000 to 2099. ",""))))&amp;IF($C198="","Repeat every is missing. ",IF(ISNA(MATCH($C198&amp;"",{"Weekly","Every 2 weeks","Every 3 weeks","Every 4 weeks"},0)),"Repeat every must be Weekly or Every 2, 3 or 4 weeks. ",""))&amp;IF($D198="","Visit length is missing. ",IF(NOT(ISNUMBER($D198)),"Visit length must be a number of hours. ",IF($D198&lt;0,"Visit length can't be negative. ",IF($D198=0,"Visit length must be more than 0. ",IF(ABS($D198*100-ROUND($D198*100,0))&gt;0.000001,"Visit length: use up to 2 decimals. ",IF($D198&gt;24,"Visit length: 24 hours or less. ",""))))))&amp;IF($E198="","",IF(NOT(ISNUMBER($E198)),"Last visit isn't a date (it's text). ",IF($E198&lt;&gt;INT($E198),"Last visit has a time; enter a date only. ",IF(OR($E198&lt;DATE(2000,1,1),$E198&gt;DATE(2099,12,31)),"Last visit must be from 2000 to 2099. ",IF(AND(IF(ISNUMBER($B198),AND($B198=INT($B198),$B198&gt;=DATE(2000,1,1),$B198&lt;=DATE(2099,12,31)),FALSE()),$E198&lt;$B198),"Last visit is before the first visit. ","")))))))</f>
        <v/>
      </c>
      <c r="J198" s="39" t="n">
        <f aca="false">IF($H198="OK",1,0)</f>
        <v>0</v>
      </c>
      <c r="K198" s="40" t="n">
        <f aca="false">IF($J198=1,$B198,0)</f>
        <v>0</v>
      </c>
      <c r="L198" s="39" t="n">
        <f aca="false">IF($J198=1,7*MATCH($C198&amp;"",{"Weekly","Every 2 weeks","Every 3 weeks","Every 4 weeks"},0),7)</f>
        <v>7</v>
      </c>
      <c r="M198" s="40" t="n">
        <f aca="false">IF($J198=1,IF($E198="",2958465,$E198),0)</f>
        <v>0</v>
      </c>
      <c r="N198" s="39" t="n">
        <f aca="false">IF($J198=1,ROUND($D198*100,0),0)</f>
        <v>0</v>
      </c>
      <c r="O198" s="40" t="str">
        <f aca="false">IF($J198&lt;&gt;1,"",IF(AND((WeekMon+WEEKDAY($K198,2)-1)&gt;=$K198,MOD((WeekMon+WEEKDAY($K198,2)-1)-$K198,$L198)=0,(WeekMon+WEEKDAY($K198,2)-1)&lt;=$M198),(WeekMon+WEEKDAY($K198,2)-1),""))</f>
        <v/>
      </c>
      <c r="P198" s="39" t="str">
        <f aca="false">IF($O198="","",($O198-WeekMon)*1000+ROW()-11)</f>
        <v/>
      </c>
    </row>
    <row r="199" customFormat="false" ht="15" hidden="false" customHeight="false" outlineLevel="0" collapsed="false">
      <c r="A199" s="33"/>
      <c r="B199" s="34"/>
      <c r="C199" s="33"/>
      <c r="D199" s="35"/>
      <c r="E199" s="34"/>
      <c r="F199" s="36" t="str">
        <f aca="false">IF(IF(ISNUMBER($B199),AND($B199=INT($B199),$B199&gt;=DATE(2000,1,1),$B199&lt;=DATE(2099,12,31)),FALSE()),CHOOSE(WEEKDAY($B199,2),"Monday","Tuesday","Wednesday","Thursday","Friday","Saturday","Sunday"),"")</f>
        <v/>
      </c>
      <c r="G199" s="36" t="str">
        <f aca="false">IF($J199&lt;&gt;1,"",MAX(0,INT((MIN(WinStart+83,$M199)-MAX($K199,$K199+ROUNDUP((WinStart-$K199)/$L199,0)*$L199))/$L199)+1))</f>
        <v/>
      </c>
      <c r="H199" s="37" t="str">
        <f aca="false">IF(AND($A199="",$B199="",$C199="",$D199="",$E199=""),"",IF($I199="","OK","Check details"))</f>
        <v/>
      </c>
      <c r="I199" s="38" t="str">
        <f aca="false">IF(AND($A199="",$B199="",$C199="",$D199="",$E199=""),"",TRIM(IF(TRIM($A199&amp;"")="","Label is missing. ","")&amp;IF($B199="","First visit is missing. ",IF(NOT(ISNUMBER($B199)),"First visit isn't a date (it's text). ",IF($B199&lt;&gt;INT($B199),"First visit has a time; enter a date only. ",IF(OR($B199&lt;DATE(2000,1,1),$B199&gt;DATE(2099,12,31)),"First visit must be from 2000 to 2099. ",""))))&amp;IF($C199="","Repeat every is missing. ",IF(ISNA(MATCH($C199&amp;"",{"Weekly","Every 2 weeks","Every 3 weeks","Every 4 weeks"},0)),"Repeat every must be Weekly or Every 2, 3 or 4 weeks. ",""))&amp;IF($D199="","Visit length is missing. ",IF(NOT(ISNUMBER($D199)),"Visit length must be a number of hours. ",IF($D199&lt;0,"Visit length can't be negative. ",IF($D199=0,"Visit length must be more than 0. ",IF(ABS($D199*100-ROUND($D199*100,0))&gt;0.000001,"Visit length: use up to 2 decimals. ",IF($D199&gt;24,"Visit length: 24 hours or less. ",""))))))&amp;IF($E199="","",IF(NOT(ISNUMBER($E199)),"Last visit isn't a date (it's text). ",IF($E199&lt;&gt;INT($E199),"Last visit has a time; enter a date only. ",IF(OR($E199&lt;DATE(2000,1,1),$E199&gt;DATE(2099,12,31)),"Last visit must be from 2000 to 2099. ",IF(AND(IF(ISNUMBER($B199),AND($B199=INT($B199),$B199&gt;=DATE(2000,1,1),$B199&lt;=DATE(2099,12,31)),FALSE()),$E199&lt;$B199),"Last visit is before the first visit. ","")))))))</f>
        <v/>
      </c>
      <c r="J199" s="39" t="n">
        <f aca="false">IF($H199="OK",1,0)</f>
        <v>0</v>
      </c>
      <c r="K199" s="40" t="n">
        <f aca="false">IF($J199=1,$B199,0)</f>
        <v>0</v>
      </c>
      <c r="L199" s="39" t="n">
        <f aca="false">IF($J199=1,7*MATCH($C199&amp;"",{"Weekly","Every 2 weeks","Every 3 weeks","Every 4 weeks"},0),7)</f>
        <v>7</v>
      </c>
      <c r="M199" s="40" t="n">
        <f aca="false">IF($J199=1,IF($E199="",2958465,$E199),0)</f>
        <v>0</v>
      </c>
      <c r="N199" s="39" t="n">
        <f aca="false">IF($J199=1,ROUND($D199*100,0),0)</f>
        <v>0</v>
      </c>
      <c r="O199" s="40" t="str">
        <f aca="false">IF($J199&lt;&gt;1,"",IF(AND((WeekMon+WEEKDAY($K199,2)-1)&gt;=$K199,MOD((WeekMon+WEEKDAY($K199,2)-1)-$K199,$L199)=0,(WeekMon+WEEKDAY($K199,2)-1)&lt;=$M199),(WeekMon+WEEKDAY($K199,2)-1),""))</f>
        <v/>
      </c>
      <c r="P199" s="39" t="str">
        <f aca="false">IF($O199="","",($O199-WeekMon)*1000+ROW()-11)</f>
        <v/>
      </c>
    </row>
    <row r="200" customFormat="false" ht="15" hidden="false" customHeight="false" outlineLevel="0" collapsed="false">
      <c r="A200" s="33"/>
      <c r="B200" s="34"/>
      <c r="C200" s="33"/>
      <c r="D200" s="35"/>
      <c r="E200" s="34"/>
      <c r="F200" s="36" t="str">
        <f aca="false">IF(IF(ISNUMBER($B200),AND($B200=INT($B200),$B200&gt;=DATE(2000,1,1),$B200&lt;=DATE(2099,12,31)),FALSE()),CHOOSE(WEEKDAY($B200,2),"Monday","Tuesday","Wednesday","Thursday","Friday","Saturday","Sunday"),"")</f>
        <v/>
      </c>
      <c r="G200" s="36" t="str">
        <f aca="false">IF($J200&lt;&gt;1,"",MAX(0,INT((MIN(WinStart+83,$M200)-MAX($K200,$K200+ROUNDUP((WinStart-$K200)/$L200,0)*$L200))/$L200)+1))</f>
        <v/>
      </c>
      <c r="H200" s="37" t="str">
        <f aca="false">IF(AND($A200="",$B200="",$C200="",$D200="",$E200=""),"",IF($I200="","OK","Check details"))</f>
        <v/>
      </c>
      <c r="I200" s="38" t="str">
        <f aca="false">IF(AND($A200="",$B200="",$C200="",$D200="",$E200=""),"",TRIM(IF(TRIM($A200&amp;"")="","Label is missing. ","")&amp;IF($B200="","First visit is missing. ",IF(NOT(ISNUMBER($B200)),"First visit isn't a date (it's text). ",IF($B200&lt;&gt;INT($B200),"First visit has a time; enter a date only. ",IF(OR($B200&lt;DATE(2000,1,1),$B200&gt;DATE(2099,12,31)),"First visit must be from 2000 to 2099. ",""))))&amp;IF($C200="","Repeat every is missing. ",IF(ISNA(MATCH($C200&amp;"",{"Weekly","Every 2 weeks","Every 3 weeks","Every 4 weeks"},0)),"Repeat every must be Weekly or Every 2, 3 or 4 weeks. ",""))&amp;IF($D200="","Visit length is missing. ",IF(NOT(ISNUMBER($D200)),"Visit length must be a number of hours. ",IF($D200&lt;0,"Visit length can't be negative. ",IF($D200=0,"Visit length must be more than 0. ",IF(ABS($D200*100-ROUND($D200*100,0))&gt;0.000001,"Visit length: use up to 2 decimals. ",IF($D200&gt;24,"Visit length: 24 hours or less. ",""))))))&amp;IF($E200="","",IF(NOT(ISNUMBER($E200)),"Last visit isn't a date (it's text). ",IF($E200&lt;&gt;INT($E200),"Last visit has a time; enter a date only. ",IF(OR($E200&lt;DATE(2000,1,1),$E200&gt;DATE(2099,12,31)),"Last visit must be from 2000 to 2099. ",IF(AND(IF(ISNUMBER($B200),AND($B200=INT($B200),$B200&gt;=DATE(2000,1,1),$B200&lt;=DATE(2099,12,31)),FALSE()),$E200&lt;$B200),"Last visit is before the first visit. ","")))))))</f>
        <v/>
      </c>
      <c r="J200" s="39" t="n">
        <f aca="false">IF($H200="OK",1,0)</f>
        <v>0</v>
      </c>
      <c r="K200" s="40" t="n">
        <f aca="false">IF($J200=1,$B200,0)</f>
        <v>0</v>
      </c>
      <c r="L200" s="39" t="n">
        <f aca="false">IF($J200=1,7*MATCH($C200&amp;"",{"Weekly","Every 2 weeks","Every 3 weeks","Every 4 weeks"},0),7)</f>
        <v>7</v>
      </c>
      <c r="M200" s="40" t="n">
        <f aca="false">IF($J200=1,IF($E200="",2958465,$E200),0)</f>
        <v>0</v>
      </c>
      <c r="N200" s="39" t="n">
        <f aca="false">IF($J200=1,ROUND($D200*100,0),0)</f>
        <v>0</v>
      </c>
      <c r="O200" s="40" t="str">
        <f aca="false">IF($J200&lt;&gt;1,"",IF(AND((WeekMon+WEEKDAY($K200,2)-1)&gt;=$K200,MOD((WeekMon+WEEKDAY($K200,2)-1)-$K200,$L200)=0,(WeekMon+WEEKDAY($K200,2)-1)&lt;=$M200),(WeekMon+WEEKDAY($K200,2)-1),""))</f>
        <v/>
      </c>
      <c r="P200" s="39" t="str">
        <f aca="false">IF($O200="","",($O200-WeekMon)*1000+ROW()-11)</f>
        <v/>
      </c>
    </row>
    <row r="201" customFormat="false" ht="15" hidden="false" customHeight="false" outlineLevel="0" collapsed="false">
      <c r="A201" s="33"/>
      <c r="B201" s="34"/>
      <c r="C201" s="33"/>
      <c r="D201" s="35"/>
      <c r="E201" s="34"/>
      <c r="F201" s="36" t="str">
        <f aca="false">IF(IF(ISNUMBER($B201),AND($B201=INT($B201),$B201&gt;=DATE(2000,1,1),$B201&lt;=DATE(2099,12,31)),FALSE()),CHOOSE(WEEKDAY($B201,2),"Monday","Tuesday","Wednesday","Thursday","Friday","Saturday","Sunday"),"")</f>
        <v/>
      </c>
      <c r="G201" s="36" t="str">
        <f aca="false">IF($J201&lt;&gt;1,"",MAX(0,INT((MIN(WinStart+83,$M201)-MAX($K201,$K201+ROUNDUP((WinStart-$K201)/$L201,0)*$L201))/$L201)+1))</f>
        <v/>
      </c>
      <c r="H201" s="37" t="str">
        <f aca="false">IF(AND($A201="",$B201="",$C201="",$D201="",$E201=""),"",IF($I201="","OK","Check details"))</f>
        <v/>
      </c>
      <c r="I201" s="38" t="str">
        <f aca="false">IF(AND($A201="",$B201="",$C201="",$D201="",$E201=""),"",TRIM(IF(TRIM($A201&amp;"")="","Label is missing. ","")&amp;IF($B201="","First visit is missing. ",IF(NOT(ISNUMBER($B201)),"First visit isn't a date (it's text). ",IF($B201&lt;&gt;INT($B201),"First visit has a time; enter a date only. ",IF(OR($B201&lt;DATE(2000,1,1),$B201&gt;DATE(2099,12,31)),"First visit must be from 2000 to 2099. ",""))))&amp;IF($C201="","Repeat every is missing. ",IF(ISNA(MATCH($C201&amp;"",{"Weekly","Every 2 weeks","Every 3 weeks","Every 4 weeks"},0)),"Repeat every must be Weekly or Every 2, 3 or 4 weeks. ",""))&amp;IF($D201="","Visit length is missing. ",IF(NOT(ISNUMBER($D201)),"Visit length must be a number of hours. ",IF($D201&lt;0,"Visit length can't be negative. ",IF($D201=0,"Visit length must be more than 0. ",IF(ABS($D201*100-ROUND($D201*100,0))&gt;0.000001,"Visit length: use up to 2 decimals. ",IF($D201&gt;24,"Visit length: 24 hours or less. ",""))))))&amp;IF($E201="","",IF(NOT(ISNUMBER($E201)),"Last visit isn't a date (it's text). ",IF($E201&lt;&gt;INT($E201),"Last visit has a time; enter a date only. ",IF(OR($E201&lt;DATE(2000,1,1),$E201&gt;DATE(2099,12,31)),"Last visit must be from 2000 to 2099. ",IF(AND(IF(ISNUMBER($B201),AND($B201=INT($B201),$B201&gt;=DATE(2000,1,1),$B201&lt;=DATE(2099,12,31)),FALSE()),$E201&lt;$B201),"Last visit is before the first visit. ","")))))))</f>
        <v/>
      </c>
      <c r="J201" s="39" t="n">
        <f aca="false">IF($H201="OK",1,0)</f>
        <v>0</v>
      </c>
      <c r="K201" s="40" t="n">
        <f aca="false">IF($J201=1,$B201,0)</f>
        <v>0</v>
      </c>
      <c r="L201" s="39" t="n">
        <f aca="false">IF($J201=1,7*MATCH($C201&amp;"",{"Weekly","Every 2 weeks","Every 3 weeks","Every 4 weeks"},0),7)</f>
        <v>7</v>
      </c>
      <c r="M201" s="40" t="n">
        <f aca="false">IF($J201=1,IF($E201="",2958465,$E201),0)</f>
        <v>0</v>
      </c>
      <c r="N201" s="39" t="n">
        <f aca="false">IF($J201=1,ROUND($D201*100,0),0)</f>
        <v>0</v>
      </c>
      <c r="O201" s="40" t="str">
        <f aca="false">IF($J201&lt;&gt;1,"",IF(AND((WeekMon+WEEKDAY($K201,2)-1)&gt;=$K201,MOD((WeekMon+WEEKDAY($K201,2)-1)-$K201,$L201)=0,(WeekMon+WEEKDAY($K201,2)-1)&lt;=$M201),(WeekMon+WEEKDAY($K201,2)-1),""))</f>
        <v/>
      </c>
      <c r="P201" s="39" t="str">
        <f aca="false">IF($O201="","",($O201-WeekMon)*1000+ROW()-11)</f>
        <v/>
      </c>
    </row>
    <row r="202" customFormat="false" ht="15" hidden="false" customHeight="false" outlineLevel="0" collapsed="false">
      <c r="A202" s="33"/>
      <c r="B202" s="34"/>
      <c r="C202" s="33"/>
      <c r="D202" s="35"/>
      <c r="E202" s="34"/>
      <c r="F202" s="36" t="str">
        <f aca="false">IF(IF(ISNUMBER($B202),AND($B202=INT($B202),$B202&gt;=DATE(2000,1,1),$B202&lt;=DATE(2099,12,31)),FALSE()),CHOOSE(WEEKDAY($B202,2),"Monday","Tuesday","Wednesday","Thursday","Friday","Saturday","Sunday"),"")</f>
        <v/>
      </c>
      <c r="G202" s="36" t="str">
        <f aca="false">IF($J202&lt;&gt;1,"",MAX(0,INT((MIN(WinStart+83,$M202)-MAX($K202,$K202+ROUNDUP((WinStart-$K202)/$L202,0)*$L202))/$L202)+1))</f>
        <v/>
      </c>
      <c r="H202" s="37" t="str">
        <f aca="false">IF(AND($A202="",$B202="",$C202="",$D202="",$E202=""),"",IF($I202="","OK","Check details"))</f>
        <v/>
      </c>
      <c r="I202" s="38" t="str">
        <f aca="false">IF(AND($A202="",$B202="",$C202="",$D202="",$E202=""),"",TRIM(IF(TRIM($A202&amp;"")="","Label is missing. ","")&amp;IF($B202="","First visit is missing. ",IF(NOT(ISNUMBER($B202)),"First visit isn't a date (it's text). ",IF($B202&lt;&gt;INT($B202),"First visit has a time; enter a date only. ",IF(OR($B202&lt;DATE(2000,1,1),$B202&gt;DATE(2099,12,31)),"First visit must be from 2000 to 2099. ",""))))&amp;IF($C202="","Repeat every is missing. ",IF(ISNA(MATCH($C202&amp;"",{"Weekly","Every 2 weeks","Every 3 weeks","Every 4 weeks"},0)),"Repeat every must be Weekly or Every 2, 3 or 4 weeks. ",""))&amp;IF($D202="","Visit length is missing. ",IF(NOT(ISNUMBER($D202)),"Visit length must be a number of hours. ",IF($D202&lt;0,"Visit length can't be negative. ",IF($D202=0,"Visit length must be more than 0. ",IF(ABS($D202*100-ROUND($D202*100,0))&gt;0.000001,"Visit length: use up to 2 decimals. ",IF($D202&gt;24,"Visit length: 24 hours or less. ",""))))))&amp;IF($E202="","",IF(NOT(ISNUMBER($E202)),"Last visit isn't a date (it's text). ",IF($E202&lt;&gt;INT($E202),"Last visit has a time; enter a date only. ",IF(OR($E202&lt;DATE(2000,1,1),$E202&gt;DATE(2099,12,31)),"Last visit must be from 2000 to 2099. ",IF(AND(IF(ISNUMBER($B202),AND($B202=INT($B202),$B202&gt;=DATE(2000,1,1),$B202&lt;=DATE(2099,12,31)),FALSE()),$E202&lt;$B202),"Last visit is before the first visit. ","")))))))</f>
        <v/>
      </c>
      <c r="J202" s="39" t="n">
        <f aca="false">IF($H202="OK",1,0)</f>
        <v>0</v>
      </c>
      <c r="K202" s="40" t="n">
        <f aca="false">IF($J202=1,$B202,0)</f>
        <v>0</v>
      </c>
      <c r="L202" s="39" t="n">
        <f aca="false">IF($J202=1,7*MATCH($C202&amp;"",{"Weekly","Every 2 weeks","Every 3 weeks","Every 4 weeks"},0),7)</f>
        <v>7</v>
      </c>
      <c r="M202" s="40" t="n">
        <f aca="false">IF($J202=1,IF($E202="",2958465,$E202),0)</f>
        <v>0</v>
      </c>
      <c r="N202" s="39" t="n">
        <f aca="false">IF($J202=1,ROUND($D202*100,0),0)</f>
        <v>0</v>
      </c>
      <c r="O202" s="40" t="str">
        <f aca="false">IF($J202&lt;&gt;1,"",IF(AND((WeekMon+WEEKDAY($K202,2)-1)&gt;=$K202,MOD((WeekMon+WEEKDAY($K202,2)-1)-$K202,$L202)=0,(WeekMon+WEEKDAY($K202,2)-1)&lt;=$M202),(WeekMon+WEEKDAY($K202,2)-1),""))</f>
        <v/>
      </c>
      <c r="P202" s="39" t="str">
        <f aca="false">IF($O202="","",($O202-WeekMon)*1000+ROW()-11)</f>
        <v/>
      </c>
    </row>
    <row r="203" customFormat="false" ht="15" hidden="false" customHeight="false" outlineLevel="0" collapsed="false">
      <c r="A203" s="33"/>
      <c r="B203" s="34"/>
      <c r="C203" s="33"/>
      <c r="D203" s="35"/>
      <c r="E203" s="34"/>
      <c r="F203" s="36" t="str">
        <f aca="false">IF(IF(ISNUMBER($B203),AND($B203=INT($B203),$B203&gt;=DATE(2000,1,1),$B203&lt;=DATE(2099,12,31)),FALSE()),CHOOSE(WEEKDAY($B203,2),"Monday","Tuesday","Wednesday","Thursday","Friday","Saturday","Sunday"),"")</f>
        <v/>
      </c>
      <c r="G203" s="36" t="str">
        <f aca="false">IF($J203&lt;&gt;1,"",MAX(0,INT((MIN(WinStart+83,$M203)-MAX($K203,$K203+ROUNDUP((WinStart-$K203)/$L203,0)*$L203))/$L203)+1))</f>
        <v/>
      </c>
      <c r="H203" s="37" t="str">
        <f aca="false">IF(AND($A203="",$B203="",$C203="",$D203="",$E203=""),"",IF($I203="","OK","Check details"))</f>
        <v/>
      </c>
      <c r="I203" s="38" t="str">
        <f aca="false">IF(AND($A203="",$B203="",$C203="",$D203="",$E203=""),"",TRIM(IF(TRIM($A203&amp;"")="","Label is missing. ","")&amp;IF($B203="","First visit is missing. ",IF(NOT(ISNUMBER($B203)),"First visit isn't a date (it's text). ",IF($B203&lt;&gt;INT($B203),"First visit has a time; enter a date only. ",IF(OR($B203&lt;DATE(2000,1,1),$B203&gt;DATE(2099,12,31)),"First visit must be from 2000 to 2099. ",""))))&amp;IF($C203="","Repeat every is missing. ",IF(ISNA(MATCH($C203&amp;"",{"Weekly","Every 2 weeks","Every 3 weeks","Every 4 weeks"},0)),"Repeat every must be Weekly or Every 2, 3 or 4 weeks. ",""))&amp;IF($D203="","Visit length is missing. ",IF(NOT(ISNUMBER($D203)),"Visit length must be a number of hours. ",IF($D203&lt;0,"Visit length can't be negative. ",IF($D203=0,"Visit length must be more than 0. ",IF(ABS($D203*100-ROUND($D203*100,0))&gt;0.000001,"Visit length: use up to 2 decimals. ",IF($D203&gt;24,"Visit length: 24 hours or less. ",""))))))&amp;IF($E203="","",IF(NOT(ISNUMBER($E203)),"Last visit isn't a date (it's text). ",IF($E203&lt;&gt;INT($E203),"Last visit has a time; enter a date only. ",IF(OR($E203&lt;DATE(2000,1,1),$E203&gt;DATE(2099,12,31)),"Last visit must be from 2000 to 2099. ",IF(AND(IF(ISNUMBER($B203),AND($B203=INT($B203),$B203&gt;=DATE(2000,1,1),$B203&lt;=DATE(2099,12,31)),FALSE()),$E203&lt;$B203),"Last visit is before the first visit. ","")))))))</f>
        <v/>
      </c>
      <c r="J203" s="39" t="n">
        <f aca="false">IF($H203="OK",1,0)</f>
        <v>0</v>
      </c>
      <c r="K203" s="40" t="n">
        <f aca="false">IF($J203=1,$B203,0)</f>
        <v>0</v>
      </c>
      <c r="L203" s="39" t="n">
        <f aca="false">IF($J203=1,7*MATCH($C203&amp;"",{"Weekly","Every 2 weeks","Every 3 weeks","Every 4 weeks"},0),7)</f>
        <v>7</v>
      </c>
      <c r="M203" s="40" t="n">
        <f aca="false">IF($J203=1,IF($E203="",2958465,$E203),0)</f>
        <v>0</v>
      </c>
      <c r="N203" s="39" t="n">
        <f aca="false">IF($J203=1,ROUND($D203*100,0),0)</f>
        <v>0</v>
      </c>
      <c r="O203" s="40" t="str">
        <f aca="false">IF($J203&lt;&gt;1,"",IF(AND((WeekMon+WEEKDAY($K203,2)-1)&gt;=$K203,MOD((WeekMon+WEEKDAY($K203,2)-1)-$K203,$L203)=0,(WeekMon+WEEKDAY($K203,2)-1)&lt;=$M203),(WeekMon+WEEKDAY($K203,2)-1),""))</f>
        <v/>
      </c>
      <c r="P203" s="39" t="str">
        <f aca="false">IF($O203="","",($O203-WeekMon)*1000+ROW()-11)</f>
        <v/>
      </c>
    </row>
    <row r="204" customFormat="false" ht="15" hidden="false" customHeight="false" outlineLevel="0" collapsed="false">
      <c r="A204" s="33"/>
      <c r="B204" s="34"/>
      <c r="C204" s="33"/>
      <c r="D204" s="35"/>
      <c r="E204" s="34"/>
      <c r="F204" s="36" t="str">
        <f aca="false">IF(IF(ISNUMBER($B204),AND($B204=INT($B204),$B204&gt;=DATE(2000,1,1),$B204&lt;=DATE(2099,12,31)),FALSE()),CHOOSE(WEEKDAY($B204,2),"Monday","Tuesday","Wednesday","Thursday","Friday","Saturday","Sunday"),"")</f>
        <v/>
      </c>
      <c r="G204" s="36" t="str">
        <f aca="false">IF($J204&lt;&gt;1,"",MAX(0,INT((MIN(WinStart+83,$M204)-MAX($K204,$K204+ROUNDUP((WinStart-$K204)/$L204,0)*$L204))/$L204)+1))</f>
        <v/>
      </c>
      <c r="H204" s="37" t="str">
        <f aca="false">IF(AND($A204="",$B204="",$C204="",$D204="",$E204=""),"",IF($I204="","OK","Check details"))</f>
        <v/>
      </c>
      <c r="I204" s="38" t="str">
        <f aca="false">IF(AND($A204="",$B204="",$C204="",$D204="",$E204=""),"",TRIM(IF(TRIM($A204&amp;"")="","Label is missing. ","")&amp;IF($B204="","First visit is missing. ",IF(NOT(ISNUMBER($B204)),"First visit isn't a date (it's text). ",IF($B204&lt;&gt;INT($B204),"First visit has a time; enter a date only. ",IF(OR($B204&lt;DATE(2000,1,1),$B204&gt;DATE(2099,12,31)),"First visit must be from 2000 to 2099. ",""))))&amp;IF($C204="","Repeat every is missing. ",IF(ISNA(MATCH($C204&amp;"",{"Weekly","Every 2 weeks","Every 3 weeks","Every 4 weeks"},0)),"Repeat every must be Weekly or Every 2, 3 or 4 weeks. ",""))&amp;IF($D204="","Visit length is missing. ",IF(NOT(ISNUMBER($D204)),"Visit length must be a number of hours. ",IF($D204&lt;0,"Visit length can't be negative. ",IF($D204=0,"Visit length must be more than 0. ",IF(ABS($D204*100-ROUND($D204*100,0))&gt;0.000001,"Visit length: use up to 2 decimals. ",IF($D204&gt;24,"Visit length: 24 hours or less. ",""))))))&amp;IF($E204="","",IF(NOT(ISNUMBER($E204)),"Last visit isn't a date (it's text). ",IF($E204&lt;&gt;INT($E204),"Last visit has a time; enter a date only. ",IF(OR($E204&lt;DATE(2000,1,1),$E204&gt;DATE(2099,12,31)),"Last visit must be from 2000 to 2099. ",IF(AND(IF(ISNUMBER($B204),AND($B204=INT($B204),$B204&gt;=DATE(2000,1,1),$B204&lt;=DATE(2099,12,31)),FALSE()),$E204&lt;$B204),"Last visit is before the first visit. ","")))))))</f>
        <v/>
      </c>
      <c r="J204" s="39" t="n">
        <f aca="false">IF($H204="OK",1,0)</f>
        <v>0</v>
      </c>
      <c r="K204" s="40" t="n">
        <f aca="false">IF($J204=1,$B204,0)</f>
        <v>0</v>
      </c>
      <c r="L204" s="39" t="n">
        <f aca="false">IF($J204=1,7*MATCH($C204&amp;"",{"Weekly","Every 2 weeks","Every 3 weeks","Every 4 weeks"},0),7)</f>
        <v>7</v>
      </c>
      <c r="M204" s="40" t="n">
        <f aca="false">IF($J204=1,IF($E204="",2958465,$E204),0)</f>
        <v>0</v>
      </c>
      <c r="N204" s="39" t="n">
        <f aca="false">IF($J204=1,ROUND($D204*100,0),0)</f>
        <v>0</v>
      </c>
      <c r="O204" s="40" t="str">
        <f aca="false">IF($J204&lt;&gt;1,"",IF(AND((WeekMon+WEEKDAY($K204,2)-1)&gt;=$K204,MOD((WeekMon+WEEKDAY($K204,2)-1)-$K204,$L204)=0,(WeekMon+WEEKDAY($K204,2)-1)&lt;=$M204),(WeekMon+WEEKDAY($K204,2)-1),""))</f>
        <v/>
      </c>
      <c r="P204" s="39" t="str">
        <f aca="false">IF($O204="","",($O204-WeekMon)*1000+ROW()-11)</f>
        <v/>
      </c>
    </row>
    <row r="205" customFormat="false" ht="15" hidden="false" customHeight="false" outlineLevel="0" collapsed="false">
      <c r="A205" s="33"/>
      <c r="B205" s="34"/>
      <c r="C205" s="33"/>
      <c r="D205" s="35"/>
      <c r="E205" s="34"/>
      <c r="F205" s="36" t="str">
        <f aca="false">IF(IF(ISNUMBER($B205),AND($B205=INT($B205),$B205&gt;=DATE(2000,1,1),$B205&lt;=DATE(2099,12,31)),FALSE()),CHOOSE(WEEKDAY($B205,2),"Monday","Tuesday","Wednesday","Thursday","Friday","Saturday","Sunday"),"")</f>
        <v/>
      </c>
      <c r="G205" s="36" t="str">
        <f aca="false">IF($J205&lt;&gt;1,"",MAX(0,INT((MIN(WinStart+83,$M205)-MAX($K205,$K205+ROUNDUP((WinStart-$K205)/$L205,0)*$L205))/$L205)+1))</f>
        <v/>
      </c>
      <c r="H205" s="37" t="str">
        <f aca="false">IF(AND($A205="",$B205="",$C205="",$D205="",$E205=""),"",IF($I205="","OK","Check details"))</f>
        <v/>
      </c>
      <c r="I205" s="38" t="str">
        <f aca="false">IF(AND($A205="",$B205="",$C205="",$D205="",$E205=""),"",TRIM(IF(TRIM($A205&amp;"")="","Label is missing. ","")&amp;IF($B205="","First visit is missing. ",IF(NOT(ISNUMBER($B205)),"First visit isn't a date (it's text). ",IF($B205&lt;&gt;INT($B205),"First visit has a time; enter a date only. ",IF(OR($B205&lt;DATE(2000,1,1),$B205&gt;DATE(2099,12,31)),"First visit must be from 2000 to 2099. ",""))))&amp;IF($C205="","Repeat every is missing. ",IF(ISNA(MATCH($C205&amp;"",{"Weekly","Every 2 weeks","Every 3 weeks","Every 4 weeks"},0)),"Repeat every must be Weekly or Every 2, 3 or 4 weeks. ",""))&amp;IF($D205="","Visit length is missing. ",IF(NOT(ISNUMBER($D205)),"Visit length must be a number of hours. ",IF($D205&lt;0,"Visit length can't be negative. ",IF($D205=0,"Visit length must be more than 0. ",IF(ABS($D205*100-ROUND($D205*100,0))&gt;0.000001,"Visit length: use up to 2 decimals. ",IF($D205&gt;24,"Visit length: 24 hours or less. ",""))))))&amp;IF($E205="","",IF(NOT(ISNUMBER($E205)),"Last visit isn't a date (it's text). ",IF($E205&lt;&gt;INT($E205),"Last visit has a time; enter a date only. ",IF(OR($E205&lt;DATE(2000,1,1),$E205&gt;DATE(2099,12,31)),"Last visit must be from 2000 to 2099. ",IF(AND(IF(ISNUMBER($B205),AND($B205=INT($B205),$B205&gt;=DATE(2000,1,1),$B205&lt;=DATE(2099,12,31)),FALSE()),$E205&lt;$B205),"Last visit is before the first visit. ","")))))))</f>
        <v/>
      </c>
      <c r="J205" s="39" t="n">
        <f aca="false">IF($H205="OK",1,0)</f>
        <v>0</v>
      </c>
      <c r="K205" s="40" t="n">
        <f aca="false">IF($J205=1,$B205,0)</f>
        <v>0</v>
      </c>
      <c r="L205" s="39" t="n">
        <f aca="false">IF($J205=1,7*MATCH($C205&amp;"",{"Weekly","Every 2 weeks","Every 3 weeks","Every 4 weeks"},0),7)</f>
        <v>7</v>
      </c>
      <c r="M205" s="40" t="n">
        <f aca="false">IF($J205=1,IF($E205="",2958465,$E205),0)</f>
        <v>0</v>
      </c>
      <c r="N205" s="39" t="n">
        <f aca="false">IF($J205=1,ROUND($D205*100,0),0)</f>
        <v>0</v>
      </c>
      <c r="O205" s="40" t="str">
        <f aca="false">IF($J205&lt;&gt;1,"",IF(AND((WeekMon+WEEKDAY($K205,2)-1)&gt;=$K205,MOD((WeekMon+WEEKDAY($K205,2)-1)-$K205,$L205)=0,(WeekMon+WEEKDAY($K205,2)-1)&lt;=$M205),(WeekMon+WEEKDAY($K205,2)-1),""))</f>
        <v/>
      </c>
      <c r="P205" s="39" t="str">
        <f aca="false">IF($O205="","",($O205-WeekMon)*1000+ROW()-11)</f>
        <v/>
      </c>
    </row>
    <row r="206" customFormat="false" ht="15" hidden="false" customHeight="false" outlineLevel="0" collapsed="false">
      <c r="A206" s="33"/>
      <c r="B206" s="34"/>
      <c r="C206" s="33"/>
      <c r="D206" s="35"/>
      <c r="E206" s="34"/>
      <c r="F206" s="36" t="str">
        <f aca="false">IF(IF(ISNUMBER($B206),AND($B206=INT($B206),$B206&gt;=DATE(2000,1,1),$B206&lt;=DATE(2099,12,31)),FALSE()),CHOOSE(WEEKDAY($B206,2),"Monday","Tuesday","Wednesday","Thursday","Friday","Saturday","Sunday"),"")</f>
        <v/>
      </c>
      <c r="G206" s="36" t="str">
        <f aca="false">IF($J206&lt;&gt;1,"",MAX(0,INT((MIN(WinStart+83,$M206)-MAX($K206,$K206+ROUNDUP((WinStart-$K206)/$L206,0)*$L206))/$L206)+1))</f>
        <v/>
      </c>
      <c r="H206" s="37" t="str">
        <f aca="false">IF(AND($A206="",$B206="",$C206="",$D206="",$E206=""),"",IF($I206="","OK","Check details"))</f>
        <v/>
      </c>
      <c r="I206" s="38" t="str">
        <f aca="false">IF(AND($A206="",$B206="",$C206="",$D206="",$E206=""),"",TRIM(IF(TRIM($A206&amp;"")="","Label is missing. ","")&amp;IF($B206="","First visit is missing. ",IF(NOT(ISNUMBER($B206)),"First visit isn't a date (it's text). ",IF($B206&lt;&gt;INT($B206),"First visit has a time; enter a date only. ",IF(OR($B206&lt;DATE(2000,1,1),$B206&gt;DATE(2099,12,31)),"First visit must be from 2000 to 2099. ",""))))&amp;IF($C206="","Repeat every is missing. ",IF(ISNA(MATCH($C206&amp;"",{"Weekly","Every 2 weeks","Every 3 weeks","Every 4 weeks"},0)),"Repeat every must be Weekly or Every 2, 3 or 4 weeks. ",""))&amp;IF($D206="","Visit length is missing. ",IF(NOT(ISNUMBER($D206)),"Visit length must be a number of hours. ",IF($D206&lt;0,"Visit length can't be negative. ",IF($D206=0,"Visit length must be more than 0. ",IF(ABS($D206*100-ROUND($D206*100,0))&gt;0.000001,"Visit length: use up to 2 decimals. ",IF($D206&gt;24,"Visit length: 24 hours or less. ",""))))))&amp;IF($E206="","",IF(NOT(ISNUMBER($E206)),"Last visit isn't a date (it's text). ",IF($E206&lt;&gt;INT($E206),"Last visit has a time; enter a date only. ",IF(OR($E206&lt;DATE(2000,1,1),$E206&gt;DATE(2099,12,31)),"Last visit must be from 2000 to 2099. ",IF(AND(IF(ISNUMBER($B206),AND($B206=INT($B206),$B206&gt;=DATE(2000,1,1),$B206&lt;=DATE(2099,12,31)),FALSE()),$E206&lt;$B206),"Last visit is before the first visit. ","")))))))</f>
        <v/>
      </c>
      <c r="J206" s="39" t="n">
        <f aca="false">IF($H206="OK",1,0)</f>
        <v>0</v>
      </c>
      <c r="K206" s="40" t="n">
        <f aca="false">IF($J206=1,$B206,0)</f>
        <v>0</v>
      </c>
      <c r="L206" s="39" t="n">
        <f aca="false">IF($J206=1,7*MATCH($C206&amp;"",{"Weekly","Every 2 weeks","Every 3 weeks","Every 4 weeks"},0),7)</f>
        <v>7</v>
      </c>
      <c r="M206" s="40" t="n">
        <f aca="false">IF($J206=1,IF($E206="",2958465,$E206),0)</f>
        <v>0</v>
      </c>
      <c r="N206" s="39" t="n">
        <f aca="false">IF($J206=1,ROUND($D206*100,0),0)</f>
        <v>0</v>
      </c>
      <c r="O206" s="40" t="str">
        <f aca="false">IF($J206&lt;&gt;1,"",IF(AND((WeekMon+WEEKDAY($K206,2)-1)&gt;=$K206,MOD((WeekMon+WEEKDAY($K206,2)-1)-$K206,$L206)=0,(WeekMon+WEEKDAY($K206,2)-1)&lt;=$M206),(WeekMon+WEEKDAY($K206,2)-1),""))</f>
        <v/>
      </c>
      <c r="P206" s="39" t="str">
        <f aca="false">IF($O206="","",($O206-WeekMon)*1000+ROW()-11)</f>
        <v/>
      </c>
    </row>
    <row r="207" customFormat="false" ht="15" hidden="false" customHeight="false" outlineLevel="0" collapsed="false">
      <c r="A207" s="33"/>
      <c r="B207" s="34"/>
      <c r="C207" s="33"/>
      <c r="D207" s="35"/>
      <c r="E207" s="34"/>
      <c r="F207" s="36" t="str">
        <f aca="false">IF(IF(ISNUMBER($B207),AND($B207=INT($B207),$B207&gt;=DATE(2000,1,1),$B207&lt;=DATE(2099,12,31)),FALSE()),CHOOSE(WEEKDAY($B207,2),"Monday","Tuesday","Wednesday","Thursday","Friday","Saturday","Sunday"),"")</f>
        <v/>
      </c>
      <c r="G207" s="36" t="str">
        <f aca="false">IF($J207&lt;&gt;1,"",MAX(0,INT((MIN(WinStart+83,$M207)-MAX($K207,$K207+ROUNDUP((WinStart-$K207)/$L207,0)*$L207))/$L207)+1))</f>
        <v/>
      </c>
      <c r="H207" s="37" t="str">
        <f aca="false">IF(AND($A207="",$B207="",$C207="",$D207="",$E207=""),"",IF($I207="","OK","Check details"))</f>
        <v/>
      </c>
      <c r="I207" s="38" t="str">
        <f aca="false">IF(AND($A207="",$B207="",$C207="",$D207="",$E207=""),"",TRIM(IF(TRIM($A207&amp;"")="","Label is missing. ","")&amp;IF($B207="","First visit is missing. ",IF(NOT(ISNUMBER($B207)),"First visit isn't a date (it's text). ",IF($B207&lt;&gt;INT($B207),"First visit has a time; enter a date only. ",IF(OR($B207&lt;DATE(2000,1,1),$B207&gt;DATE(2099,12,31)),"First visit must be from 2000 to 2099. ",""))))&amp;IF($C207="","Repeat every is missing. ",IF(ISNA(MATCH($C207&amp;"",{"Weekly","Every 2 weeks","Every 3 weeks","Every 4 weeks"},0)),"Repeat every must be Weekly or Every 2, 3 or 4 weeks. ",""))&amp;IF($D207="","Visit length is missing. ",IF(NOT(ISNUMBER($D207)),"Visit length must be a number of hours. ",IF($D207&lt;0,"Visit length can't be negative. ",IF($D207=0,"Visit length must be more than 0. ",IF(ABS($D207*100-ROUND($D207*100,0))&gt;0.000001,"Visit length: use up to 2 decimals. ",IF($D207&gt;24,"Visit length: 24 hours or less. ",""))))))&amp;IF($E207="","",IF(NOT(ISNUMBER($E207)),"Last visit isn't a date (it's text). ",IF($E207&lt;&gt;INT($E207),"Last visit has a time; enter a date only. ",IF(OR($E207&lt;DATE(2000,1,1),$E207&gt;DATE(2099,12,31)),"Last visit must be from 2000 to 2099. ",IF(AND(IF(ISNUMBER($B207),AND($B207=INT($B207),$B207&gt;=DATE(2000,1,1),$B207&lt;=DATE(2099,12,31)),FALSE()),$E207&lt;$B207),"Last visit is before the first visit. ","")))))))</f>
        <v/>
      </c>
      <c r="J207" s="39" t="n">
        <f aca="false">IF($H207="OK",1,0)</f>
        <v>0</v>
      </c>
      <c r="K207" s="40" t="n">
        <f aca="false">IF($J207=1,$B207,0)</f>
        <v>0</v>
      </c>
      <c r="L207" s="39" t="n">
        <f aca="false">IF($J207=1,7*MATCH($C207&amp;"",{"Weekly","Every 2 weeks","Every 3 weeks","Every 4 weeks"},0),7)</f>
        <v>7</v>
      </c>
      <c r="M207" s="40" t="n">
        <f aca="false">IF($J207=1,IF($E207="",2958465,$E207),0)</f>
        <v>0</v>
      </c>
      <c r="N207" s="39" t="n">
        <f aca="false">IF($J207=1,ROUND($D207*100,0),0)</f>
        <v>0</v>
      </c>
      <c r="O207" s="40" t="str">
        <f aca="false">IF($J207&lt;&gt;1,"",IF(AND((WeekMon+WEEKDAY($K207,2)-1)&gt;=$K207,MOD((WeekMon+WEEKDAY($K207,2)-1)-$K207,$L207)=0,(WeekMon+WEEKDAY($K207,2)-1)&lt;=$M207),(WeekMon+WEEKDAY($K207,2)-1),""))</f>
        <v/>
      </c>
      <c r="P207" s="39" t="str">
        <f aca="false">IF($O207="","",($O207-WeekMon)*1000+ROW()-11)</f>
        <v/>
      </c>
    </row>
    <row r="208" customFormat="false" ht="15" hidden="false" customHeight="false" outlineLevel="0" collapsed="false">
      <c r="A208" s="33"/>
      <c r="B208" s="34"/>
      <c r="C208" s="33"/>
      <c r="D208" s="35"/>
      <c r="E208" s="34"/>
      <c r="F208" s="36" t="str">
        <f aca="false">IF(IF(ISNUMBER($B208),AND($B208=INT($B208),$B208&gt;=DATE(2000,1,1),$B208&lt;=DATE(2099,12,31)),FALSE()),CHOOSE(WEEKDAY($B208,2),"Monday","Tuesday","Wednesday","Thursday","Friday","Saturday","Sunday"),"")</f>
        <v/>
      </c>
      <c r="G208" s="36" t="str">
        <f aca="false">IF($J208&lt;&gt;1,"",MAX(0,INT((MIN(WinStart+83,$M208)-MAX($K208,$K208+ROUNDUP((WinStart-$K208)/$L208,0)*$L208))/$L208)+1))</f>
        <v/>
      </c>
      <c r="H208" s="37" t="str">
        <f aca="false">IF(AND($A208="",$B208="",$C208="",$D208="",$E208=""),"",IF($I208="","OK","Check details"))</f>
        <v/>
      </c>
      <c r="I208" s="38" t="str">
        <f aca="false">IF(AND($A208="",$B208="",$C208="",$D208="",$E208=""),"",TRIM(IF(TRIM($A208&amp;"")="","Label is missing. ","")&amp;IF($B208="","First visit is missing. ",IF(NOT(ISNUMBER($B208)),"First visit isn't a date (it's text). ",IF($B208&lt;&gt;INT($B208),"First visit has a time; enter a date only. ",IF(OR($B208&lt;DATE(2000,1,1),$B208&gt;DATE(2099,12,31)),"First visit must be from 2000 to 2099. ",""))))&amp;IF($C208="","Repeat every is missing. ",IF(ISNA(MATCH($C208&amp;"",{"Weekly","Every 2 weeks","Every 3 weeks","Every 4 weeks"},0)),"Repeat every must be Weekly or Every 2, 3 or 4 weeks. ",""))&amp;IF($D208="","Visit length is missing. ",IF(NOT(ISNUMBER($D208)),"Visit length must be a number of hours. ",IF($D208&lt;0,"Visit length can't be negative. ",IF($D208=0,"Visit length must be more than 0. ",IF(ABS($D208*100-ROUND($D208*100,0))&gt;0.000001,"Visit length: use up to 2 decimals. ",IF($D208&gt;24,"Visit length: 24 hours or less. ",""))))))&amp;IF($E208="","",IF(NOT(ISNUMBER($E208)),"Last visit isn't a date (it's text). ",IF($E208&lt;&gt;INT($E208),"Last visit has a time; enter a date only. ",IF(OR($E208&lt;DATE(2000,1,1),$E208&gt;DATE(2099,12,31)),"Last visit must be from 2000 to 2099. ",IF(AND(IF(ISNUMBER($B208),AND($B208=INT($B208),$B208&gt;=DATE(2000,1,1),$B208&lt;=DATE(2099,12,31)),FALSE()),$E208&lt;$B208),"Last visit is before the first visit. ","")))))))</f>
        <v/>
      </c>
      <c r="J208" s="39" t="n">
        <f aca="false">IF($H208="OK",1,0)</f>
        <v>0</v>
      </c>
      <c r="K208" s="40" t="n">
        <f aca="false">IF($J208=1,$B208,0)</f>
        <v>0</v>
      </c>
      <c r="L208" s="39" t="n">
        <f aca="false">IF($J208=1,7*MATCH($C208&amp;"",{"Weekly","Every 2 weeks","Every 3 weeks","Every 4 weeks"},0),7)</f>
        <v>7</v>
      </c>
      <c r="M208" s="40" t="n">
        <f aca="false">IF($J208=1,IF($E208="",2958465,$E208),0)</f>
        <v>0</v>
      </c>
      <c r="N208" s="39" t="n">
        <f aca="false">IF($J208=1,ROUND($D208*100,0),0)</f>
        <v>0</v>
      </c>
      <c r="O208" s="40" t="str">
        <f aca="false">IF($J208&lt;&gt;1,"",IF(AND((WeekMon+WEEKDAY($K208,2)-1)&gt;=$K208,MOD((WeekMon+WEEKDAY($K208,2)-1)-$K208,$L208)=0,(WeekMon+WEEKDAY($K208,2)-1)&lt;=$M208),(WeekMon+WEEKDAY($K208,2)-1),""))</f>
        <v/>
      </c>
      <c r="P208" s="39" t="str">
        <f aca="false">IF($O208="","",($O208-WeekMon)*1000+ROW()-11)</f>
        <v/>
      </c>
    </row>
    <row r="209" customFormat="false" ht="15" hidden="false" customHeight="false" outlineLevel="0" collapsed="false">
      <c r="A209" s="33"/>
      <c r="B209" s="34"/>
      <c r="C209" s="33"/>
      <c r="D209" s="35"/>
      <c r="E209" s="34"/>
      <c r="F209" s="36" t="str">
        <f aca="false">IF(IF(ISNUMBER($B209),AND($B209=INT($B209),$B209&gt;=DATE(2000,1,1),$B209&lt;=DATE(2099,12,31)),FALSE()),CHOOSE(WEEKDAY($B209,2),"Monday","Tuesday","Wednesday","Thursday","Friday","Saturday","Sunday"),"")</f>
        <v/>
      </c>
      <c r="G209" s="36" t="str">
        <f aca="false">IF($J209&lt;&gt;1,"",MAX(0,INT((MIN(WinStart+83,$M209)-MAX($K209,$K209+ROUNDUP((WinStart-$K209)/$L209,0)*$L209))/$L209)+1))</f>
        <v/>
      </c>
      <c r="H209" s="37" t="str">
        <f aca="false">IF(AND($A209="",$B209="",$C209="",$D209="",$E209=""),"",IF($I209="","OK","Check details"))</f>
        <v/>
      </c>
      <c r="I209" s="38" t="str">
        <f aca="false">IF(AND($A209="",$B209="",$C209="",$D209="",$E209=""),"",TRIM(IF(TRIM($A209&amp;"")="","Label is missing. ","")&amp;IF($B209="","First visit is missing. ",IF(NOT(ISNUMBER($B209)),"First visit isn't a date (it's text). ",IF($B209&lt;&gt;INT($B209),"First visit has a time; enter a date only. ",IF(OR($B209&lt;DATE(2000,1,1),$B209&gt;DATE(2099,12,31)),"First visit must be from 2000 to 2099. ",""))))&amp;IF($C209="","Repeat every is missing. ",IF(ISNA(MATCH($C209&amp;"",{"Weekly","Every 2 weeks","Every 3 weeks","Every 4 weeks"},0)),"Repeat every must be Weekly or Every 2, 3 or 4 weeks. ",""))&amp;IF($D209="","Visit length is missing. ",IF(NOT(ISNUMBER($D209)),"Visit length must be a number of hours. ",IF($D209&lt;0,"Visit length can't be negative. ",IF($D209=0,"Visit length must be more than 0. ",IF(ABS($D209*100-ROUND($D209*100,0))&gt;0.000001,"Visit length: use up to 2 decimals. ",IF($D209&gt;24,"Visit length: 24 hours or less. ",""))))))&amp;IF($E209="","",IF(NOT(ISNUMBER($E209)),"Last visit isn't a date (it's text). ",IF($E209&lt;&gt;INT($E209),"Last visit has a time; enter a date only. ",IF(OR($E209&lt;DATE(2000,1,1),$E209&gt;DATE(2099,12,31)),"Last visit must be from 2000 to 2099. ",IF(AND(IF(ISNUMBER($B209),AND($B209=INT($B209),$B209&gt;=DATE(2000,1,1),$B209&lt;=DATE(2099,12,31)),FALSE()),$E209&lt;$B209),"Last visit is before the first visit. ","")))))))</f>
        <v/>
      </c>
      <c r="J209" s="39" t="n">
        <f aca="false">IF($H209="OK",1,0)</f>
        <v>0</v>
      </c>
      <c r="K209" s="40" t="n">
        <f aca="false">IF($J209=1,$B209,0)</f>
        <v>0</v>
      </c>
      <c r="L209" s="39" t="n">
        <f aca="false">IF($J209=1,7*MATCH($C209&amp;"",{"Weekly","Every 2 weeks","Every 3 weeks","Every 4 weeks"},0),7)</f>
        <v>7</v>
      </c>
      <c r="M209" s="40" t="n">
        <f aca="false">IF($J209=1,IF($E209="",2958465,$E209),0)</f>
        <v>0</v>
      </c>
      <c r="N209" s="39" t="n">
        <f aca="false">IF($J209=1,ROUND($D209*100,0),0)</f>
        <v>0</v>
      </c>
      <c r="O209" s="40" t="str">
        <f aca="false">IF($J209&lt;&gt;1,"",IF(AND((WeekMon+WEEKDAY($K209,2)-1)&gt;=$K209,MOD((WeekMon+WEEKDAY($K209,2)-1)-$K209,$L209)=0,(WeekMon+WEEKDAY($K209,2)-1)&lt;=$M209),(WeekMon+WEEKDAY($K209,2)-1),""))</f>
        <v/>
      </c>
      <c r="P209" s="39" t="str">
        <f aca="false">IF($O209="","",($O209-WeekMon)*1000+ROW()-11)</f>
        <v/>
      </c>
    </row>
    <row r="210" customFormat="false" ht="15" hidden="false" customHeight="false" outlineLevel="0" collapsed="false">
      <c r="A210" s="33"/>
      <c r="B210" s="34"/>
      <c r="C210" s="33"/>
      <c r="D210" s="35"/>
      <c r="E210" s="34"/>
      <c r="F210" s="36" t="str">
        <f aca="false">IF(IF(ISNUMBER($B210),AND($B210=INT($B210),$B210&gt;=DATE(2000,1,1),$B210&lt;=DATE(2099,12,31)),FALSE()),CHOOSE(WEEKDAY($B210,2),"Monday","Tuesday","Wednesday","Thursday","Friday","Saturday","Sunday"),"")</f>
        <v/>
      </c>
      <c r="G210" s="36" t="str">
        <f aca="false">IF($J210&lt;&gt;1,"",MAX(0,INT((MIN(WinStart+83,$M210)-MAX($K210,$K210+ROUNDUP((WinStart-$K210)/$L210,0)*$L210))/$L210)+1))</f>
        <v/>
      </c>
      <c r="H210" s="37" t="str">
        <f aca="false">IF(AND($A210="",$B210="",$C210="",$D210="",$E210=""),"",IF($I210="","OK","Check details"))</f>
        <v/>
      </c>
      <c r="I210" s="38" t="str">
        <f aca="false">IF(AND($A210="",$B210="",$C210="",$D210="",$E210=""),"",TRIM(IF(TRIM($A210&amp;"")="","Label is missing. ","")&amp;IF($B210="","First visit is missing. ",IF(NOT(ISNUMBER($B210)),"First visit isn't a date (it's text). ",IF($B210&lt;&gt;INT($B210),"First visit has a time; enter a date only. ",IF(OR($B210&lt;DATE(2000,1,1),$B210&gt;DATE(2099,12,31)),"First visit must be from 2000 to 2099. ",""))))&amp;IF($C210="","Repeat every is missing. ",IF(ISNA(MATCH($C210&amp;"",{"Weekly","Every 2 weeks","Every 3 weeks","Every 4 weeks"},0)),"Repeat every must be Weekly or Every 2, 3 or 4 weeks. ",""))&amp;IF($D210="","Visit length is missing. ",IF(NOT(ISNUMBER($D210)),"Visit length must be a number of hours. ",IF($D210&lt;0,"Visit length can't be negative. ",IF($D210=0,"Visit length must be more than 0. ",IF(ABS($D210*100-ROUND($D210*100,0))&gt;0.000001,"Visit length: use up to 2 decimals. ",IF($D210&gt;24,"Visit length: 24 hours or less. ",""))))))&amp;IF($E210="","",IF(NOT(ISNUMBER($E210)),"Last visit isn't a date (it's text). ",IF($E210&lt;&gt;INT($E210),"Last visit has a time; enter a date only. ",IF(OR($E210&lt;DATE(2000,1,1),$E210&gt;DATE(2099,12,31)),"Last visit must be from 2000 to 2099. ",IF(AND(IF(ISNUMBER($B210),AND($B210=INT($B210),$B210&gt;=DATE(2000,1,1),$B210&lt;=DATE(2099,12,31)),FALSE()),$E210&lt;$B210),"Last visit is before the first visit. ","")))))))</f>
        <v/>
      </c>
      <c r="J210" s="39" t="n">
        <f aca="false">IF($H210="OK",1,0)</f>
        <v>0</v>
      </c>
      <c r="K210" s="40" t="n">
        <f aca="false">IF($J210=1,$B210,0)</f>
        <v>0</v>
      </c>
      <c r="L210" s="39" t="n">
        <f aca="false">IF($J210=1,7*MATCH($C210&amp;"",{"Weekly","Every 2 weeks","Every 3 weeks","Every 4 weeks"},0),7)</f>
        <v>7</v>
      </c>
      <c r="M210" s="40" t="n">
        <f aca="false">IF($J210=1,IF($E210="",2958465,$E210),0)</f>
        <v>0</v>
      </c>
      <c r="N210" s="39" t="n">
        <f aca="false">IF($J210=1,ROUND($D210*100,0),0)</f>
        <v>0</v>
      </c>
      <c r="O210" s="40" t="str">
        <f aca="false">IF($J210&lt;&gt;1,"",IF(AND((WeekMon+WEEKDAY($K210,2)-1)&gt;=$K210,MOD((WeekMon+WEEKDAY($K210,2)-1)-$K210,$L210)=0,(WeekMon+WEEKDAY($K210,2)-1)&lt;=$M210),(WeekMon+WEEKDAY($K210,2)-1),""))</f>
        <v/>
      </c>
      <c r="P210" s="39" t="str">
        <f aca="false">IF($O210="","",($O210-WeekMon)*1000+ROW()-11)</f>
        <v/>
      </c>
    </row>
    <row r="211" customFormat="false" ht="15" hidden="false" customHeight="false" outlineLevel="0" collapsed="false">
      <c r="A211" s="33"/>
      <c r="B211" s="34"/>
      <c r="C211" s="33"/>
      <c r="D211" s="35"/>
      <c r="E211" s="34"/>
      <c r="F211" s="36" t="str">
        <f aca="false">IF(IF(ISNUMBER($B211),AND($B211=INT($B211),$B211&gt;=DATE(2000,1,1),$B211&lt;=DATE(2099,12,31)),FALSE()),CHOOSE(WEEKDAY($B211,2),"Monday","Tuesday","Wednesday","Thursday","Friday","Saturday","Sunday"),"")</f>
        <v/>
      </c>
      <c r="G211" s="36" t="str">
        <f aca="false">IF($J211&lt;&gt;1,"",MAX(0,INT((MIN(WinStart+83,$M211)-MAX($K211,$K211+ROUNDUP((WinStart-$K211)/$L211,0)*$L211))/$L211)+1))</f>
        <v/>
      </c>
      <c r="H211" s="37" t="str">
        <f aca="false">IF(AND($A211="",$B211="",$C211="",$D211="",$E211=""),"",IF($I211="","OK","Check details"))</f>
        <v/>
      </c>
      <c r="I211" s="38" t="str">
        <f aca="false">IF(AND($A211="",$B211="",$C211="",$D211="",$E211=""),"",TRIM(IF(TRIM($A211&amp;"")="","Label is missing. ","")&amp;IF($B211="","First visit is missing. ",IF(NOT(ISNUMBER($B211)),"First visit isn't a date (it's text). ",IF($B211&lt;&gt;INT($B211),"First visit has a time; enter a date only. ",IF(OR($B211&lt;DATE(2000,1,1),$B211&gt;DATE(2099,12,31)),"First visit must be from 2000 to 2099. ",""))))&amp;IF($C211="","Repeat every is missing. ",IF(ISNA(MATCH($C211&amp;"",{"Weekly","Every 2 weeks","Every 3 weeks","Every 4 weeks"},0)),"Repeat every must be Weekly or Every 2, 3 or 4 weeks. ",""))&amp;IF($D211="","Visit length is missing. ",IF(NOT(ISNUMBER($D211)),"Visit length must be a number of hours. ",IF($D211&lt;0,"Visit length can't be negative. ",IF($D211=0,"Visit length must be more than 0. ",IF(ABS($D211*100-ROUND($D211*100,0))&gt;0.000001,"Visit length: use up to 2 decimals. ",IF($D211&gt;24,"Visit length: 24 hours or less. ",""))))))&amp;IF($E211="","",IF(NOT(ISNUMBER($E211)),"Last visit isn't a date (it's text). ",IF($E211&lt;&gt;INT($E211),"Last visit has a time; enter a date only. ",IF(OR($E211&lt;DATE(2000,1,1),$E211&gt;DATE(2099,12,31)),"Last visit must be from 2000 to 2099. ",IF(AND(IF(ISNUMBER($B211),AND($B211=INT($B211),$B211&gt;=DATE(2000,1,1),$B211&lt;=DATE(2099,12,31)),FALSE()),$E211&lt;$B211),"Last visit is before the first visit. ","")))))))</f>
        <v/>
      </c>
      <c r="J211" s="39" t="n">
        <f aca="false">IF($H211="OK",1,0)</f>
        <v>0</v>
      </c>
      <c r="K211" s="40" t="n">
        <f aca="false">IF($J211=1,$B211,0)</f>
        <v>0</v>
      </c>
      <c r="L211" s="39" t="n">
        <f aca="false">IF($J211=1,7*MATCH($C211&amp;"",{"Weekly","Every 2 weeks","Every 3 weeks","Every 4 weeks"},0),7)</f>
        <v>7</v>
      </c>
      <c r="M211" s="40" t="n">
        <f aca="false">IF($J211=1,IF($E211="",2958465,$E211),0)</f>
        <v>0</v>
      </c>
      <c r="N211" s="39" t="n">
        <f aca="false">IF($J211=1,ROUND($D211*100,0),0)</f>
        <v>0</v>
      </c>
      <c r="O211" s="40" t="str">
        <f aca="false">IF($J211&lt;&gt;1,"",IF(AND((WeekMon+WEEKDAY($K211,2)-1)&gt;=$K211,MOD((WeekMon+WEEKDAY($K211,2)-1)-$K211,$L211)=0,(WeekMon+WEEKDAY($K211,2)-1)&lt;=$M211),(WeekMon+WEEKDAY($K211,2)-1),""))</f>
        <v/>
      </c>
      <c r="P211" s="39" t="str">
        <f aca="false">IF($O211="","",($O211-WeekMon)*1000+ROW()-11)</f>
        <v/>
      </c>
    </row>
    <row r="212" customFormat="false" ht="15" hidden="false" customHeight="false" outlineLevel="0" collapsed="false">
      <c r="A212" s="33"/>
      <c r="B212" s="34"/>
      <c r="C212" s="33"/>
      <c r="D212" s="35"/>
      <c r="E212" s="34"/>
      <c r="F212" s="36" t="str">
        <f aca="false">IF(IF(ISNUMBER($B212),AND($B212=INT($B212),$B212&gt;=DATE(2000,1,1),$B212&lt;=DATE(2099,12,31)),FALSE()),CHOOSE(WEEKDAY($B212,2),"Monday","Tuesday","Wednesday","Thursday","Friday","Saturday","Sunday"),"")</f>
        <v/>
      </c>
      <c r="G212" s="36" t="str">
        <f aca="false">IF($J212&lt;&gt;1,"",MAX(0,INT((MIN(WinStart+83,$M212)-MAX($K212,$K212+ROUNDUP((WinStart-$K212)/$L212,0)*$L212))/$L212)+1))</f>
        <v/>
      </c>
      <c r="H212" s="37" t="str">
        <f aca="false">IF(AND($A212="",$B212="",$C212="",$D212="",$E212=""),"",IF($I212="","OK","Check details"))</f>
        <v/>
      </c>
      <c r="I212" s="38" t="str">
        <f aca="false">IF(AND($A212="",$B212="",$C212="",$D212="",$E212=""),"",TRIM(IF(TRIM($A212&amp;"")="","Label is missing. ","")&amp;IF($B212="","First visit is missing. ",IF(NOT(ISNUMBER($B212)),"First visit isn't a date (it's text). ",IF($B212&lt;&gt;INT($B212),"First visit has a time; enter a date only. ",IF(OR($B212&lt;DATE(2000,1,1),$B212&gt;DATE(2099,12,31)),"First visit must be from 2000 to 2099. ",""))))&amp;IF($C212="","Repeat every is missing. ",IF(ISNA(MATCH($C212&amp;"",{"Weekly","Every 2 weeks","Every 3 weeks","Every 4 weeks"},0)),"Repeat every must be Weekly or Every 2, 3 or 4 weeks. ",""))&amp;IF($D212="","Visit length is missing. ",IF(NOT(ISNUMBER($D212)),"Visit length must be a number of hours. ",IF($D212&lt;0,"Visit length can't be negative. ",IF($D212=0,"Visit length must be more than 0. ",IF(ABS($D212*100-ROUND($D212*100,0))&gt;0.000001,"Visit length: use up to 2 decimals. ",IF($D212&gt;24,"Visit length: 24 hours or less. ",""))))))&amp;IF($E212="","",IF(NOT(ISNUMBER($E212)),"Last visit isn't a date (it's text). ",IF($E212&lt;&gt;INT($E212),"Last visit has a time; enter a date only. ",IF(OR($E212&lt;DATE(2000,1,1),$E212&gt;DATE(2099,12,31)),"Last visit must be from 2000 to 2099. ",IF(AND(IF(ISNUMBER($B212),AND($B212=INT($B212),$B212&gt;=DATE(2000,1,1),$B212&lt;=DATE(2099,12,31)),FALSE()),$E212&lt;$B212),"Last visit is before the first visit. ","")))))))</f>
        <v/>
      </c>
      <c r="J212" s="39" t="n">
        <f aca="false">IF($H212="OK",1,0)</f>
        <v>0</v>
      </c>
      <c r="K212" s="40" t="n">
        <f aca="false">IF($J212=1,$B212,0)</f>
        <v>0</v>
      </c>
      <c r="L212" s="39" t="n">
        <f aca="false">IF($J212=1,7*MATCH($C212&amp;"",{"Weekly","Every 2 weeks","Every 3 weeks","Every 4 weeks"},0),7)</f>
        <v>7</v>
      </c>
      <c r="M212" s="40" t="n">
        <f aca="false">IF($J212=1,IF($E212="",2958465,$E212),0)</f>
        <v>0</v>
      </c>
      <c r="N212" s="39" t="n">
        <f aca="false">IF($J212=1,ROUND($D212*100,0),0)</f>
        <v>0</v>
      </c>
      <c r="O212" s="40" t="str">
        <f aca="false">IF($J212&lt;&gt;1,"",IF(AND((WeekMon+WEEKDAY($K212,2)-1)&gt;=$K212,MOD((WeekMon+WEEKDAY($K212,2)-1)-$K212,$L212)=0,(WeekMon+WEEKDAY($K212,2)-1)&lt;=$M212),(WeekMon+WEEKDAY($K212,2)-1),""))</f>
        <v/>
      </c>
      <c r="P212" s="39" t="str">
        <f aca="false">IF($O212="","",($O212-WeekMon)*1000+ROW()-11)</f>
        <v/>
      </c>
    </row>
    <row r="213" customFormat="false" ht="15" hidden="false" customHeight="false" outlineLevel="0" collapsed="false">
      <c r="A213" s="33"/>
      <c r="B213" s="34"/>
      <c r="C213" s="33"/>
      <c r="D213" s="35"/>
      <c r="E213" s="34"/>
      <c r="F213" s="36" t="str">
        <f aca="false">IF(IF(ISNUMBER($B213),AND($B213=INT($B213),$B213&gt;=DATE(2000,1,1),$B213&lt;=DATE(2099,12,31)),FALSE()),CHOOSE(WEEKDAY($B213,2),"Monday","Tuesday","Wednesday","Thursday","Friday","Saturday","Sunday"),"")</f>
        <v/>
      </c>
      <c r="G213" s="36" t="str">
        <f aca="false">IF($J213&lt;&gt;1,"",MAX(0,INT((MIN(WinStart+83,$M213)-MAX($K213,$K213+ROUNDUP((WinStart-$K213)/$L213,0)*$L213))/$L213)+1))</f>
        <v/>
      </c>
      <c r="H213" s="37" t="str">
        <f aca="false">IF(AND($A213="",$B213="",$C213="",$D213="",$E213=""),"",IF($I213="","OK","Check details"))</f>
        <v/>
      </c>
      <c r="I213" s="38" t="str">
        <f aca="false">IF(AND($A213="",$B213="",$C213="",$D213="",$E213=""),"",TRIM(IF(TRIM($A213&amp;"")="","Label is missing. ","")&amp;IF($B213="","First visit is missing. ",IF(NOT(ISNUMBER($B213)),"First visit isn't a date (it's text). ",IF($B213&lt;&gt;INT($B213),"First visit has a time; enter a date only. ",IF(OR($B213&lt;DATE(2000,1,1),$B213&gt;DATE(2099,12,31)),"First visit must be from 2000 to 2099. ",""))))&amp;IF($C213="","Repeat every is missing. ",IF(ISNA(MATCH($C213&amp;"",{"Weekly","Every 2 weeks","Every 3 weeks","Every 4 weeks"},0)),"Repeat every must be Weekly or Every 2, 3 or 4 weeks. ",""))&amp;IF($D213="","Visit length is missing. ",IF(NOT(ISNUMBER($D213)),"Visit length must be a number of hours. ",IF($D213&lt;0,"Visit length can't be negative. ",IF($D213=0,"Visit length must be more than 0. ",IF(ABS($D213*100-ROUND($D213*100,0))&gt;0.000001,"Visit length: use up to 2 decimals. ",IF($D213&gt;24,"Visit length: 24 hours or less. ",""))))))&amp;IF($E213="","",IF(NOT(ISNUMBER($E213)),"Last visit isn't a date (it's text). ",IF($E213&lt;&gt;INT($E213),"Last visit has a time; enter a date only. ",IF(OR($E213&lt;DATE(2000,1,1),$E213&gt;DATE(2099,12,31)),"Last visit must be from 2000 to 2099. ",IF(AND(IF(ISNUMBER($B213),AND($B213=INT($B213),$B213&gt;=DATE(2000,1,1),$B213&lt;=DATE(2099,12,31)),FALSE()),$E213&lt;$B213),"Last visit is before the first visit. ","")))))))</f>
        <v/>
      </c>
      <c r="J213" s="39" t="n">
        <f aca="false">IF($H213="OK",1,0)</f>
        <v>0</v>
      </c>
      <c r="K213" s="40" t="n">
        <f aca="false">IF($J213=1,$B213,0)</f>
        <v>0</v>
      </c>
      <c r="L213" s="39" t="n">
        <f aca="false">IF($J213=1,7*MATCH($C213&amp;"",{"Weekly","Every 2 weeks","Every 3 weeks","Every 4 weeks"},0),7)</f>
        <v>7</v>
      </c>
      <c r="M213" s="40" t="n">
        <f aca="false">IF($J213=1,IF($E213="",2958465,$E213),0)</f>
        <v>0</v>
      </c>
      <c r="N213" s="39" t="n">
        <f aca="false">IF($J213=1,ROUND($D213*100,0),0)</f>
        <v>0</v>
      </c>
      <c r="O213" s="40" t="str">
        <f aca="false">IF($J213&lt;&gt;1,"",IF(AND((WeekMon+WEEKDAY($K213,2)-1)&gt;=$K213,MOD((WeekMon+WEEKDAY($K213,2)-1)-$K213,$L213)=0,(WeekMon+WEEKDAY($K213,2)-1)&lt;=$M213),(WeekMon+WEEKDAY($K213,2)-1),""))</f>
        <v/>
      </c>
      <c r="P213" s="39" t="str">
        <f aca="false">IF($O213="","",($O213-WeekMon)*1000+ROW()-11)</f>
        <v/>
      </c>
    </row>
    <row r="214" customFormat="false" ht="15" hidden="false" customHeight="false" outlineLevel="0" collapsed="false">
      <c r="A214" s="33"/>
      <c r="B214" s="34"/>
      <c r="C214" s="33"/>
      <c r="D214" s="35"/>
      <c r="E214" s="34"/>
      <c r="F214" s="36" t="str">
        <f aca="false">IF(IF(ISNUMBER($B214),AND($B214=INT($B214),$B214&gt;=DATE(2000,1,1),$B214&lt;=DATE(2099,12,31)),FALSE()),CHOOSE(WEEKDAY($B214,2),"Monday","Tuesday","Wednesday","Thursday","Friday","Saturday","Sunday"),"")</f>
        <v/>
      </c>
      <c r="G214" s="36" t="str">
        <f aca="false">IF($J214&lt;&gt;1,"",MAX(0,INT((MIN(WinStart+83,$M214)-MAX($K214,$K214+ROUNDUP((WinStart-$K214)/$L214,0)*$L214))/$L214)+1))</f>
        <v/>
      </c>
      <c r="H214" s="37" t="str">
        <f aca="false">IF(AND($A214="",$B214="",$C214="",$D214="",$E214=""),"",IF($I214="","OK","Check details"))</f>
        <v/>
      </c>
      <c r="I214" s="38" t="str">
        <f aca="false">IF(AND($A214="",$B214="",$C214="",$D214="",$E214=""),"",TRIM(IF(TRIM($A214&amp;"")="","Label is missing. ","")&amp;IF($B214="","First visit is missing. ",IF(NOT(ISNUMBER($B214)),"First visit isn't a date (it's text). ",IF($B214&lt;&gt;INT($B214),"First visit has a time; enter a date only. ",IF(OR($B214&lt;DATE(2000,1,1),$B214&gt;DATE(2099,12,31)),"First visit must be from 2000 to 2099. ",""))))&amp;IF($C214="","Repeat every is missing. ",IF(ISNA(MATCH($C214&amp;"",{"Weekly","Every 2 weeks","Every 3 weeks","Every 4 weeks"},0)),"Repeat every must be Weekly or Every 2, 3 or 4 weeks. ",""))&amp;IF($D214="","Visit length is missing. ",IF(NOT(ISNUMBER($D214)),"Visit length must be a number of hours. ",IF($D214&lt;0,"Visit length can't be negative. ",IF($D214=0,"Visit length must be more than 0. ",IF(ABS($D214*100-ROUND($D214*100,0))&gt;0.000001,"Visit length: use up to 2 decimals. ",IF($D214&gt;24,"Visit length: 24 hours or less. ",""))))))&amp;IF($E214="","",IF(NOT(ISNUMBER($E214)),"Last visit isn't a date (it's text). ",IF($E214&lt;&gt;INT($E214),"Last visit has a time; enter a date only. ",IF(OR($E214&lt;DATE(2000,1,1),$E214&gt;DATE(2099,12,31)),"Last visit must be from 2000 to 2099. ",IF(AND(IF(ISNUMBER($B214),AND($B214=INT($B214),$B214&gt;=DATE(2000,1,1),$B214&lt;=DATE(2099,12,31)),FALSE()),$E214&lt;$B214),"Last visit is before the first visit. ","")))))))</f>
        <v/>
      </c>
      <c r="J214" s="39" t="n">
        <f aca="false">IF($H214="OK",1,0)</f>
        <v>0</v>
      </c>
      <c r="K214" s="40" t="n">
        <f aca="false">IF($J214=1,$B214,0)</f>
        <v>0</v>
      </c>
      <c r="L214" s="39" t="n">
        <f aca="false">IF($J214=1,7*MATCH($C214&amp;"",{"Weekly","Every 2 weeks","Every 3 weeks","Every 4 weeks"},0),7)</f>
        <v>7</v>
      </c>
      <c r="M214" s="40" t="n">
        <f aca="false">IF($J214=1,IF($E214="",2958465,$E214),0)</f>
        <v>0</v>
      </c>
      <c r="N214" s="39" t="n">
        <f aca="false">IF($J214=1,ROUND($D214*100,0),0)</f>
        <v>0</v>
      </c>
      <c r="O214" s="40" t="str">
        <f aca="false">IF($J214&lt;&gt;1,"",IF(AND((WeekMon+WEEKDAY($K214,2)-1)&gt;=$K214,MOD((WeekMon+WEEKDAY($K214,2)-1)-$K214,$L214)=0,(WeekMon+WEEKDAY($K214,2)-1)&lt;=$M214),(WeekMon+WEEKDAY($K214,2)-1),""))</f>
        <v/>
      </c>
      <c r="P214" s="39" t="str">
        <f aca="false">IF($O214="","",($O214-WeekMon)*1000+ROW()-11)</f>
        <v/>
      </c>
    </row>
    <row r="215" customFormat="false" ht="15" hidden="false" customHeight="false" outlineLevel="0" collapsed="false">
      <c r="A215" s="33"/>
      <c r="B215" s="34"/>
      <c r="C215" s="33"/>
      <c r="D215" s="35"/>
      <c r="E215" s="34"/>
      <c r="F215" s="36" t="str">
        <f aca="false">IF(IF(ISNUMBER($B215),AND($B215=INT($B215),$B215&gt;=DATE(2000,1,1),$B215&lt;=DATE(2099,12,31)),FALSE()),CHOOSE(WEEKDAY($B215,2),"Monday","Tuesday","Wednesday","Thursday","Friday","Saturday","Sunday"),"")</f>
        <v/>
      </c>
      <c r="G215" s="36" t="str">
        <f aca="false">IF($J215&lt;&gt;1,"",MAX(0,INT((MIN(WinStart+83,$M215)-MAX($K215,$K215+ROUNDUP((WinStart-$K215)/$L215,0)*$L215))/$L215)+1))</f>
        <v/>
      </c>
      <c r="H215" s="37" t="str">
        <f aca="false">IF(AND($A215="",$B215="",$C215="",$D215="",$E215=""),"",IF($I215="","OK","Check details"))</f>
        <v/>
      </c>
      <c r="I215" s="38" t="str">
        <f aca="false">IF(AND($A215="",$B215="",$C215="",$D215="",$E215=""),"",TRIM(IF(TRIM($A215&amp;"")="","Label is missing. ","")&amp;IF($B215="","First visit is missing. ",IF(NOT(ISNUMBER($B215)),"First visit isn't a date (it's text). ",IF($B215&lt;&gt;INT($B215),"First visit has a time; enter a date only. ",IF(OR($B215&lt;DATE(2000,1,1),$B215&gt;DATE(2099,12,31)),"First visit must be from 2000 to 2099. ",""))))&amp;IF($C215="","Repeat every is missing. ",IF(ISNA(MATCH($C215&amp;"",{"Weekly","Every 2 weeks","Every 3 weeks","Every 4 weeks"},0)),"Repeat every must be Weekly or Every 2, 3 or 4 weeks. ",""))&amp;IF($D215="","Visit length is missing. ",IF(NOT(ISNUMBER($D215)),"Visit length must be a number of hours. ",IF($D215&lt;0,"Visit length can't be negative. ",IF($D215=0,"Visit length must be more than 0. ",IF(ABS($D215*100-ROUND($D215*100,0))&gt;0.000001,"Visit length: use up to 2 decimals. ",IF($D215&gt;24,"Visit length: 24 hours or less. ",""))))))&amp;IF($E215="","",IF(NOT(ISNUMBER($E215)),"Last visit isn't a date (it's text). ",IF($E215&lt;&gt;INT($E215),"Last visit has a time; enter a date only. ",IF(OR($E215&lt;DATE(2000,1,1),$E215&gt;DATE(2099,12,31)),"Last visit must be from 2000 to 2099. ",IF(AND(IF(ISNUMBER($B215),AND($B215=INT($B215),$B215&gt;=DATE(2000,1,1),$B215&lt;=DATE(2099,12,31)),FALSE()),$E215&lt;$B215),"Last visit is before the first visit. ","")))))))</f>
        <v/>
      </c>
      <c r="J215" s="39" t="n">
        <f aca="false">IF($H215="OK",1,0)</f>
        <v>0</v>
      </c>
      <c r="K215" s="40" t="n">
        <f aca="false">IF($J215=1,$B215,0)</f>
        <v>0</v>
      </c>
      <c r="L215" s="39" t="n">
        <f aca="false">IF($J215=1,7*MATCH($C215&amp;"",{"Weekly","Every 2 weeks","Every 3 weeks","Every 4 weeks"},0),7)</f>
        <v>7</v>
      </c>
      <c r="M215" s="40" t="n">
        <f aca="false">IF($J215=1,IF($E215="",2958465,$E215),0)</f>
        <v>0</v>
      </c>
      <c r="N215" s="39" t="n">
        <f aca="false">IF($J215=1,ROUND($D215*100,0),0)</f>
        <v>0</v>
      </c>
      <c r="O215" s="40" t="str">
        <f aca="false">IF($J215&lt;&gt;1,"",IF(AND((WeekMon+WEEKDAY($K215,2)-1)&gt;=$K215,MOD((WeekMon+WEEKDAY($K215,2)-1)-$K215,$L215)=0,(WeekMon+WEEKDAY($K215,2)-1)&lt;=$M215),(WeekMon+WEEKDAY($K215,2)-1),""))</f>
        <v/>
      </c>
      <c r="P215" s="39" t="str">
        <f aca="false">IF($O215="","",($O215-WeekMon)*1000+ROW()-11)</f>
        <v/>
      </c>
    </row>
    <row r="216" customFormat="false" ht="15" hidden="false" customHeight="false" outlineLevel="0" collapsed="false">
      <c r="A216" s="33"/>
      <c r="B216" s="34"/>
      <c r="C216" s="33"/>
      <c r="D216" s="35"/>
      <c r="E216" s="34"/>
      <c r="F216" s="36" t="str">
        <f aca="false">IF(IF(ISNUMBER($B216),AND($B216=INT($B216),$B216&gt;=DATE(2000,1,1),$B216&lt;=DATE(2099,12,31)),FALSE()),CHOOSE(WEEKDAY($B216,2),"Monday","Tuesday","Wednesday","Thursday","Friday","Saturday","Sunday"),"")</f>
        <v/>
      </c>
      <c r="G216" s="36" t="str">
        <f aca="false">IF($J216&lt;&gt;1,"",MAX(0,INT((MIN(WinStart+83,$M216)-MAX($K216,$K216+ROUNDUP((WinStart-$K216)/$L216,0)*$L216))/$L216)+1))</f>
        <v/>
      </c>
      <c r="H216" s="37" t="str">
        <f aca="false">IF(AND($A216="",$B216="",$C216="",$D216="",$E216=""),"",IF($I216="","OK","Check details"))</f>
        <v/>
      </c>
      <c r="I216" s="38" t="str">
        <f aca="false">IF(AND($A216="",$B216="",$C216="",$D216="",$E216=""),"",TRIM(IF(TRIM($A216&amp;"")="","Label is missing. ","")&amp;IF($B216="","First visit is missing. ",IF(NOT(ISNUMBER($B216)),"First visit isn't a date (it's text). ",IF($B216&lt;&gt;INT($B216),"First visit has a time; enter a date only. ",IF(OR($B216&lt;DATE(2000,1,1),$B216&gt;DATE(2099,12,31)),"First visit must be from 2000 to 2099. ",""))))&amp;IF($C216="","Repeat every is missing. ",IF(ISNA(MATCH($C216&amp;"",{"Weekly","Every 2 weeks","Every 3 weeks","Every 4 weeks"},0)),"Repeat every must be Weekly or Every 2, 3 or 4 weeks. ",""))&amp;IF($D216="","Visit length is missing. ",IF(NOT(ISNUMBER($D216)),"Visit length must be a number of hours. ",IF($D216&lt;0,"Visit length can't be negative. ",IF($D216=0,"Visit length must be more than 0. ",IF(ABS($D216*100-ROUND($D216*100,0))&gt;0.000001,"Visit length: use up to 2 decimals. ",IF($D216&gt;24,"Visit length: 24 hours or less. ",""))))))&amp;IF($E216="","",IF(NOT(ISNUMBER($E216)),"Last visit isn't a date (it's text). ",IF($E216&lt;&gt;INT($E216),"Last visit has a time; enter a date only. ",IF(OR($E216&lt;DATE(2000,1,1),$E216&gt;DATE(2099,12,31)),"Last visit must be from 2000 to 2099. ",IF(AND(IF(ISNUMBER($B216),AND($B216=INT($B216),$B216&gt;=DATE(2000,1,1),$B216&lt;=DATE(2099,12,31)),FALSE()),$E216&lt;$B216),"Last visit is before the first visit. ","")))))))</f>
        <v/>
      </c>
      <c r="J216" s="39" t="n">
        <f aca="false">IF($H216="OK",1,0)</f>
        <v>0</v>
      </c>
      <c r="K216" s="40" t="n">
        <f aca="false">IF($J216=1,$B216,0)</f>
        <v>0</v>
      </c>
      <c r="L216" s="39" t="n">
        <f aca="false">IF($J216=1,7*MATCH($C216&amp;"",{"Weekly","Every 2 weeks","Every 3 weeks","Every 4 weeks"},0),7)</f>
        <v>7</v>
      </c>
      <c r="M216" s="40" t="n">
        <f aca="false">IF($J216=1,IF($E216="",2958465,$E216),0)</f>
        <v>0</v>
      </c>
      <c r="N216" s="39" t="n">
        <f aca="false">IF($J216=1,ROUND($D216*100,0),0)</f>
        <v>0</v>
      </c>
      <c r="O216" s="40" t="str">
        <f aca="false">IF($J216&lt;&gt;1,"",IF(AND((WeekMon+WEEKDAY($K216,2)-1)&gt;=$K216,MOD((WeekMon+WEEKDAY($K216,2)-1)-$K216,$L216)=0,(WeekMon+WEEKDAY($K216,2)-1)&lt;=$M216),(WeekMon+WEEKDAY($K216,2)-1),""))</f>
        <v/>
      </c>
      <c r="P216" s="39" t="str">
        <f aca="false">IF($O216="","",($O216-WeekMon)*1000+ROW()-11)</f>
        <v/>
      </c>
    </row>
    <row r="217" customFormat="false" ht="15" hidden="false" customHeight="false" outlineLevel="0" collapsed="false">
      <c r="A217" s="33"/>
      <c r="B217" s="34"/>
      <c r="C217" s="33"/>
      <c r="D217" s="35"/>
      <c r="E217" s="34"/>
      <c r="F217" s="36" t="str">
        <f aca="false">IF(IF(ISNUMBER($B217),AND($B217=INT($B217),$B217&gt;=DATE(2000,1,1),$B217&lt;=DATE(2099,12,31)),FALSE()),CHOOSE(WEEKDAY($B217,2),"Monday","Tuesday","Wednesday","Thursday","Friday","Saturday","Sunday"),"")</f>
        <v/>
      </c>
      <c r="G217" s="36" t="str">
        <f aca="false">IF($J217&lt;&gt;1,"",MAX(0,INT((MIN(WinStart+83,$M217)-MAX($K217,$K217+ROUNDUP((WinStart-$K217)/$L217,0)*$L217))/$L217)+1))</f>
        <v/>
      </c>
      <c r="H217" s="37" t="str">
        <f aca="false">IF(AND($A217="",$B217="",$C217="",$D217="",$E217=""),"",IF($I217="","OK","Check details"))</f>
        <v/>
      </c>
      <c r="I217" s="38" t="str">
        <f aca="false">IF(AND($A217="",$B217="",$C217="",$D217="",$E217=""),"",TRIM(IF(TRIM($A217&amp;"")="","Label is missing. ","")&amp;IF($B217="","First visit is missing. ",IF(NOT(ISNUMBER($B217)),"First visit isn't a date (it's text). ",IF($B217&lt;&gt;INT($B217),"First visit has a time; enter a date only. ",IF(OR($B217&lt;DATE(2000,1,1),$B217&gt;DATE(2099,12,31)),"First visit must be from 2000 to 2099. ",""))))&amp;IF($C217="","Repeat every is missing. ",IF(ISNA(MATCH($C217&amp;"",{"Weekly","Every 2 weeks","Every 3 weeks","Every 4 weeks"},0)),"Repeat every must be Weekly or Every 2, 3 or 4 weeks. ",""))&amp;IF($D217="","Visit length is missing. ",IF(NOT(ISNUMBER($D217)),"Visit length must be a number of hours. ",IF($D217&lt;0,"Visit length can't be negative. ",IF($D217=0,"Visit length must be more than 0. ",IF(ABS($D217*100-ROUND($D217*100,0))&gt;0.000001,"Visit length: use up to 2 decimals. ",IF($D217&gt;24,"Visit length: 24 hours or less. ",""))))))&amp;IF($E217="","",IF(NOT(ISNUMBER($E217)),"Last visit isn't a date (it's text). ",IF($E217&lt;&gt;INT($E217),"Last visit has a time; enter a date only. ",IF(OR($E217&lt;DATE(2000,1,1),$E217&gt;DATE(2099,12,31)),"Last visit must be from 2000 to 2099. ",IF(AND(IF(ISNUMBER($B217),AND($B217=INT($B217),$B217&gt;=DATE(2000,1,1),$B217&lt;=DATE(2099,12,31)),FALSE()),$E217&lt;$B217),"Last visit is before the first visit. ","")))))))</f>
        <v/>
      </c>
      <c r="J217" s="39" t="n">
        <f aca="false">IF($H217="OK",1,0)</f>
        <v>0</v>
      </c>
      <c r="K217" s="40" t="n">
        <f aca="false">IF($J217=1,$B217,0)</f>
        <v>0</v>
      </c>
      <c r="L217" s="39" t="n">
        <f aca="false">IF($J217=1,7*MATCH($C217&amp;"",{"Weekly","Every 2 weeks","Every 3 weeks","Every 4 weeks"},0),7)</f>
        <v>7</v>
      </c>
      <c r="M217" s="40" t="n">
        <f aca="false">IF($J217=1,IF($E217="",2958465,$E217),0)</f>
        <v>0</v>
      </c>
      <c r="N217" s="39" t="n">
        <f aca="false">IF($J217=1,ROUND($D217*100,0),0)</f>
        <v>0</v>
      </c>
      <c r="O217" s="40" t="str">
        <f aca="false">IF($J217&lt;&gt;1,"",IF(AND((WeekMon+WEEKDAY($K217,2)-1)&gt;=$K217,MOD((WeekMon+WEEKDAY($K217,2)-1)-$K217,$L217)=0,(WeekMon+WEEKDAY($K217,2)-1)&lt;=$M217),(WeekMon+WEEKDAY($K217,2)-1),""))</f>
        <v/>
      </c>
      <c r="P217" s="39" t="str">
        <f aca="false">IF($O217="","",($O217-WeekMon)*1000+ROW()-11)</f>
        <v/>
      </c>
    </row>
    <row r="218" customFormat="false" ht="15" hidden="false" customHeight="false" outlineLevel="0" collapsed="false">
      <c r="A218" s="33"/>
      <c r="B218" s="34"/>
      <c r="C218" s="33"/>
      <c r="D218" s="35"/>
      <c r="E218" s="34"/>
      <c r="F218" s="36" t="str">
        <f aca="false">IF(IF(ISNUMBER($B218),AND($B218=INT($B218),$B218&gt;=DATE(2000,1,1),$B218&lt;=DATE(2099,12,31)),FALSE()),CHOOSE(WEEKDAY($B218,2),"Monday","Tuesday","Wednesday","Thursday","Friday","Saturday","Sunday"),"")</f>
        <v/>
      </c>
      <c r="G218" s="36" t="str">
        <f aca="false">IF($J218&lt;&gt;1,"",MAX(0,INT((MIN(WinStart+83,$M218)-MAX($K218,$K218+ROUNDUP((WinStart-$K218)/$L218,0)*$L218))/$L218)+1))</f>
        <v/>
      </c>
      <c r="H218" s="37" t="str">
        <f aca="false">IF(AND($A218="",$B218="",$C218="",$D218="",$E218=""),"",IF($I218="","OK","Check details"))</f>
        <v/>
      </c>
      <c r="I218" s="38" t="str">
        <f aca="false">IF(AND($A218="",$B218="",$C218="",$D218="",$E218=""),"",TRIM(IF(TRIM($A218&amp;"")="","Label is missing. ","")&amp;IF($B218="","First visit is missing. ",IF(NOT(ISNUMBER($B218)),"First visit isn't a date (it's text). ",IF($B218&lt;&gt;INT($B218),"First visit has a time; enter a date only. ",IF(OR($B218&lt;DATE(2000,1,1),$B218&gt;DATE(2099,12,31)),"First visit must be from 2000 to 2099. ",""))))&amp;IF($C218="","Repeat every is missing. ",IF(ISNA(MATCH($C218&amp;"",{"Weekly","Every 2 weeks","Every 3 weeks","Every 4 weeks"},0)),"Repeat every must be Weekly or Every 2, 3 or 4 weeks. ",""))&amp;IF($D218="","Visit length is missing. ",IF(NOT(ISNUMBER($D218)),"Visit length must be a number of hours. ",IF($D218&lt;0,"Visit length can't be negative. ",IF($D218=0,"Visit length must be more than 0. ",IF(ABS($D218*100-ROUND($D218*100,0))&gt;0.000001,"Visit length: use up to 2 decimals. ",IF($D218&gt;24,"Visit length: 24 hours or less. ",""))))))&amp;IF($E218="","",IF(NOT(ISNUMBER($E218)),"Last visit isn't a date (it's text). ",IF($E218&lt;&gt;INT($E218),"Last visit has a time; enter a date only. ",IF(OR($E218&lt;DATE(2000,1,1),$E218&gt;DATE(2099,12,31)),"Last visit must be from 2000 to 2099. ",IF(AND(IF(ISNUMBER($B218),AND($B218=INT($B218),$B218&gt;=DATE(2000,1,1),$B218&lt;=DATE(2099,12,31)),FALSE()),$E218&lt;$B218),"Last visit is before the first visit. ","")))))))</f>
        <v/>
      </c>
      <c r="J218" s="39" t="n">
        <f aca="false">IF($H218="OK",1,0)</f>
        <v>0</v>
      </c>
      <c r="K218" s="40" t="n">
        <f aca="false">IF($J218=1,$B218,0)</f>
        <v>0</v>
      </c>
      <c r="L218" s="39" t="n">
        <f aca="false">IF($J218=1,7*MATCH($C218&amp;"",{"Weekly","Every 2 weeks","Every 3 weeks","Every 4 weeks"},0),7)</f>
        <v>7</v>
      </c>
      <c r="M218" s="40" t="n">
        <f aca="false">IF($J218=1,IF($E218="",2958465,$E218),0)</f>
        <v>0</v>
      </c>
      <c r="N218" s="39" t="n">
        <f aca="false">IF($J218=1,ROUND($D218*100,0),0)</f>
        <v>0</v>
      </c>
      <c r="O218" s="40" t="str">
        <f aca="false">IF($J218&lt;&gt;1,"",IF(AND((WeekMon+WEEKDAY($K218,2)-1)&gt;=$K218,MOD((WeekMon+WEEKDAY($K218,2)-1)-$K218,$L218)=0,(WeekMon+WEEKDAY($K218,2)-1)&lt;=$M218),(WeekMon+WEEKDAY($K218,2)-1),""))</f>
        <v/>
      </c>
      <c r="P218" s="39" t="str">
        <f aca="false">IF($O218="","",($O218-WeekMon)*1000+ROW()-11)</f>
        <v/>
      </c>
    </row>
    <row r="219" customFormat="false" ht="15" hidden="false" customHeight="false" outlineLevel="0" collapsed="false">
      <c r="A219" s="33"/>
      <c r="B219" s="34"/>
      <c r="C219" s="33"/>
      <c r="D219" s="35"/>
      <c r="E219" s="34"/>
      <c r="F219" s="36" t="str">
        <f aca="false">IF(IF(ISNUMBER($B219),AND($B219=INT($B219),$B219&gt;=DATE(2000,1,1),$B219&lt;=DATE(2099,12,31)),FALSE()),CHOOSE(WEEKDAY($B219,2),"Monday","Tuesday","Wednesday","Thursday","Friday","Saturday","Sunday"),"")</f>
        <v/>
      </c>
      <c r="G219" s="36" t="str">
        <f aca="false">IF($J219&lt;&gt;1,"",MAX(0,INT((MIN(WinStart+83,$M219)-MAX($K219,$K219+ROUNDUP((WinStart-$K219)/$L219,0)*$L219))/$L219)+1))</f>
        <v/>
      </c>
      <c r="H219" s="37" t="str">
        <f aca="false">IF(AND($A219="",$B219="",$C219="",$D219="",$E219=""),"",IF($I219="","OK","Check details"))</f>
        <v/>
      </c>
      <c r="I219" s="38" t="str">
        <f aca="false">IF(AND($A219="",$B219="",$C219="",$D219="",$E219=""),"",TRIM(IF(TRIM($A219&amp;"")="","Label is missing. ","")&amp;IF($B219="","First visit is missing. ",IF(NOT(ISNUMBER($B219)),"First visit isn't a date (it's text). ",IF($B219&lt;&gt;INT($B219),"First visit has a time; enter a date only. ",IF(OR($B219&lt;DATE(2000,1,1),$B219&gt;DATE(2099,12,31)),"First visit must be from 2000 to 2099. ",""))))&amp;IF($C219="","Repeat every is missing. ",IF(ISNA(MATCH($C219&amp;"",{"Weekly","Every 2 weeks","Every 3 weeks","Every 4 weeks"},0)),"Repeat every must be Weekly or Every 2, 3 or 4 weeks. ",""))&amp;IF($D219="","Visit length is missing. ",IF(NOT(ISNUMBER($D219)),"Visit length must be a number of hours. ",IF($D219&lt;0,"Visit length can't be negative. ",IF($D219=0,"Visit length must be more than 0. ",IF(ABS($D219*100-ROUND($D219*100,0))&gt;0.000001,"Visit length: use up to 2 decimals. ",IF($D219&gt;24,"Visit length: 24 hours or less. ",""))))))&amp;IF($E219="","",IF(NOT(ISNUMBER($E219)),"Last visit isn't a date (it's text). ",IF($E219&lt;&gt;INT($E219),"Last visit has a time; enter a date only. ",IF(OR($E219&lt;DATE(2000,1,1),$E219&gt;DATE(2099,12,31)),"Last visit must be from 2000 to 2099. ",IF(AND(IF(ISNUMBER($B219),AND($B219=INT($B219),$B219&gt;=DATE(2000,1,1),$B219&lt;=DATE(2099,12,31)),FALSE()),$E219&lt;$B219),"Last visit is before the first visit. ","")))))))</f>
        <v/>
      </c>
      <c r="J219" s="39" t="n">
        <f aca="false">IF($H219="OK",1,0)</f>
        <v>0</v>
      </c>
      <c r="K219" s="40" t="n">
        <f aca="false">IF($J219=1,$B219,0)</f>
        <v>0</v>
      </c>
      <c r="L219" s="39" t="n">
        <f aca="false">IF($J219=1,7*MATCH($C219&amp;"",{"Weekly","Every 2 weeks","Every 3 weeks","Every 4 weeks"},0),7)</f>
        <v>7</v>
      </c>
      <c r="M219" s="40" t="n">
        <f aca="false">IF($J219=1,IF($E219="",2958465,$E219),0)</f>
        <v>0</v>
      </c>
      <c r="N219" s="39" t="n">
        <f aca="false">IF($J219=1,ROUND($D219*100,0),0)</f>
        <v>0</v>
      </c>
      <c r="O219" s="40" t="str">
        <f aca="false">IF($J219&lt;&gt;1,"",IF(AND((WeekMon+WEEKDAY($K219,2)-1)&gt;=$K219,MOD((WeekMon+WEEKDAY($K219,2)-1)-$K219,$L219)=0,(WeekMon+WEEKDAY($K219,2)-1)&lt;=$M219),(WeekMon+WEEKDAY($K219,2)-1),""))</f>
        <v/>
      </c>
      <c r="P219" s="39" t="str">
        <f aca="false">IF($O219="","",($O219-WeekMon)*1000+ROW()-11)</f>
        <v/>
      </c>
    </row>
    <row r="220" customFormat="false" ht="15" hidden="false" customHeight="false" outlineLevel="0" collapsed="false">
      <c r="A220" s="33"/>
      <c r="B220" s="34"/>
      <c r="C220" s="33"/>
      <c r="D220" s="35"/>
      <c r="E220" s="34"/>
      <c r="F220" s="36" t="str">
        <f aca="false">IF(IF(ISNUMBER($B220),AND($B220=INT($B220),$B220&gt;=DATE(2000,1,1),$B220&lt;=DATE(2099,12,31)),FALSE()),CHOOSE(WEEKDAY($B220,2),"Monday","Tuesday","Wednesday","Thursday","Friday","Saturday","Sunday"),"")</f>
        <v/>
      </c>
      <c r="G220" s="36" t="str">
        <f aca="false">IF($J220&lt;&gt;1,"",MAX(0,INT((MIN(WinStart+83,$M220)-MAX($K220,$K220+ROUNDUP((WinStart-$K220)/$L220,0)*$L220))/$L220)+1))</f>
        <v/>
      </c>
      <c r="H220" s="37" t="str">
        <f aca="false">IF(AND($A220="",$B220="",$C220="",$D220="",$E220=""),"",IF($I220="","OK","Check details"))</f>
        <v/>
      </c>
      <c r="I220" s="38" t="str">
        <f aca="false">IF(AND($A220="",$B220="",$C220="",$D220="",$E220=""),"",TRIM(IF(TRIM($A220&amp;"")="","Label is missing. ","")&amp;IF($B220="","First visit is missing. ",IF(NOT(ISNUMBER($B220)),"First visit isn't a date (it's text). ",IF($B220&lt;&gt;INT($B220),"First visit has a time; enter a date only. ",IF(OR($B220&lt;DATE(2000,1,1),$B220&gt;DATE(2099,12,31)),"First visit must be from 2000 to 2099. ",""))))&amp;IF($C220="","Repeat every is missing. ",IF(ISNA(MATCH($C220&amp;"",{"Weekly","Every 2 weeks","Every 3 weeks","Every 4 weeks"},0)),"Repeat every must be Weekly or Every 2, 3 or 4 weeks. ",""))&amp;IF($D220="","Visit length is missing. ",IF(NOT(ISNUMBER($D220)),"Visit length must be a number of hours. ",IF($D220&lt;0,"Visit length can't be negative. ",IF($D220=0,"Visit length must be more than 0. ",IF(ABS($D220*100-ROUND($D220*100,0))&gt;0.000001,"Visit length: use up to 2 decimals. ",IF($D220&gt;24,"Visit length: 24 hours or less. ",""))))))&amp;IF($E220="","",IF(NOT(ISNUMBER($E220)),"Last visit isn't a date (it's text). ",IF($E220&lt;&gt;INT($E220),"Last visit has a time; enter a date only. ",IF(OR($E220&lt;DATE(2000,1,1),$E220&gt;DATE(2099,12,31)),"Last visit must be from 2000 to 2099. ",IF(AND(IF(ISNUMBER($B220),AND($B220=INT($B220),$B220&gt;=DATE(2000,1,1),$B220&lt;=DATE(2099,12,31)),FALSE()),$E220&lt;$B220),"Last visit is before the first visit. ","")))))))</f>
        <v/>
      </c>
      <c r="J220" s="39" t="n">
        <f aca="false">IF($H220="OK",1,0)</f>
        <v>0</v>
      </c>
      <c r="K220" s="40" t="n">
        <f aca="false">IF($J220=1,$B220,0)</f>
        <v>0</v>
      </c>
      <c r="L220" s="39" t="n">
        <f aca="false">IF($J220=1,7*MATCH($C220&amp;"",{"Weekly","Every 2 weeks","Every 3 weeks","Every 4 weeks"},0),7)</f>
        <v>7</v>
      </c>
      <c r="M220" s="40" t="n">
        <f aca="false">IF($J220=1,IF($E220="",2958465,$E220),0)</f>
        <v>0</v>
      </c>
      <c r="N220" s="39" t="n">
        <f aca="false">IF($J220=1,ROUND($D220*100,0),0)</f>
        <v>0</v>
      </c>
      <c r="O220" s="40" t="str">
        <f aca="false">IF($J220&lt;&gt;1,"",IF(AND((WeekMon+WEEKDAY($K220,2)-1)&gt;=$K220,MOD((WeekMon+WEEKDAY($K220,2)-1)-$K220,$L220)=0,(WeekMon+WEEKDAY($K220,2)-1)&lt;=$M220),(WeekMon+WEEKDAY($K220,2)-1),""))</f>
        <v/>
      </c>
      <c r="P220" s="39" t="str">
        <f aca="false">IF($O220="","",($O220-WeekMon)*1000+ROW()-11)</f>
        <v/>
      </c>
    </row>
    <row r="221" customFormat="false" ht="15" hidden="false" customHeight="false" outlineLevel="0" collapsed="false">
      <c r="A221" s="33"/>
      <c r="B221" s="34"/>
      <c r="C221" s="33"/>
      <c r="D221" s="35"/>
      <c r="E221" s="34"/>
      <c r="F221" s="36" t="str">
        <f aca="false">IF(IF(ISNUMBER($B221),AND($B221=INT($B221),$B221&gt;=DATE(2000,1,1),$B221&lt;=DATE(2099,12,31)),FALSE()),CHOOSE(WEEKDAY($B221,2),"Monday","Tuesday","Wednesday","Thursday","Friday","Saturday","Sunday"),"")</f>
        <v/>
      </c>
      <c r="G221" s="36" t="str">
        <f aca="false">IF($J221&lt;&gt;1,"",MAX(0,INT((MIN(WinStart+83,$M221)-MAX($K221,$K221+ROUNDUP((WinStart-$K221)/$L221,0)*$L221))/$L221)+1))</f>
        <v/>
      </c>
      <c r="H221" s="37" t="str">
        <f aca="false">IF(AND($A221="",$B221="",$C221="",$D221="",$E221=""),"",IF($I221="","OK","Check details"))</f>
        <v/>
      </c>
      <c r="I221" s="38" t="str">
        <f aca="false">IF(AND($A221="",$B221="",$C221="",$D221="",$E221=""),"",TRIM(IF(TRIM($A221&amp;"")="","Label is missing. ","")&amp;IF($B221="","First visit is missing. ",IF(NOT(ISNUMBER($B221)),"First visit isn't a date (it's text). ",IF($B221&lt;&gt;INT($B221),"First visit has a time; enter a date only. ",IF(OR($B221&lt;DATE(2000,1,1),$B221&gt;DATE(2099,12,31)),"First visit must be from 2000 to 2099. ",""))))&amp;IF($C221="","Repeat every is missing. ",IF(ISNA(MATCH($C221&amp;"",{"Weekly","Every 2 weeks","Every 3 weeks","Every 4 weeks"},0)),"Repeat every must be Weekly or Every 2, 3 or 4 weeks. ",""))&amp;IF($D221="","Visit length is missing. ",IF(NOT(ISNUMBER($D221)),"Visit length must be a number of hours. ",IF($D221&lt;0,"Visit length can't be negative. ",IF($D221=0,"Visit length must be more than 0. ",IF(ABS($D221*100-ROUND($D221*100,0))&gt;0.000001,"Visit length: use up to 2 decimals. ",IF($D221&gt;24,"Visit length: 24 hours or less. ",""))))))&amp;IF($E221="","",IF(NOT(ISNUMBER($E221)),"Last visit isn't a date (it's text). ",IF($E221&lt;&gt;INT($E221),"Last visit has a time; enter a date only. ",IF(OR($E221&lt;DATE(2000,1,1),$E221&gt;DATE(2099,12,31)),"Last visit must be from 2000 to 2099. ",IF(AND(IF(ISNUMBER($B221),AND($B221=INT($B221),$B221&gt;=DATE(2000,1,1),$B221&lt;=DATE(2099,12,31)),FALSE()),$E221&lt;$B221),"Last visit is before the first visit. ","")))))))</f>
        <v/>
      </c>
      <c r="J221" s="39" t="n">
        <f aca="false">IF($H221="OK",1,0)</f>
        <v>0</v>
      </c>
      <c r="K221" s="40" t="n">
        <f aca="false">IF($J221=1,$B221,0)</f>
        <v>0</v>
      </c>
      <c r="L221" s="39" t="n">
        <f aca="false">IF($J221=1,7*MATCH($C221&amp;"",{"Weekly","Every 2 weeks","Every 3 weeks","Every 4 weeks"},0),7)</f>
        <v>7</v>
      </c>
      <c r="M221" s="40" t="n">
        <f aca="false">IF($J221=1,IF($E221="",2958465,$E221),0)</f>
        <v>0</v>
      </c>
      <c r="N221" s="39" t="n">
        <f aca="false">IF($J221=1,ROUND($D221*100,0),0)</f>
        <v>0</v>
      </c>
      <c r="O221" s="40" t="str">
        <f aca="false">IF($J221&lt;&gt;1,"",IF(AND((WeekMon+WEEKDAY($K221,2)-1)&gt;=$K221,MOD((WeekMon+WEEKDAY($K221,2)-1)-$K221,$L221)=0,(WeekMon+WEEKDAY($K221,2)-1)&lt;=$M221),(WeekMon+WEEKDAY($K221,2)-1),""))</f>
        <v/>
      </c>
      <c r="P221" s="39" t="str">
        <f aca="false">IF($O221="","",($O221-WeekMon)*1000+ROW()-11)</f>
        <v/>
      </c>
    </row>
    <row r="222" customFormat="false" ht="15" hidden="false" customHeight="false" outlineLevel="0" collapsed="false">
      <c r="A222" s="33"/>
      <c r="B222" s="34"/>
      <c r="C222" s="33"/>
      <c r="D222" s="35"/>
      <c r="E222" s="34"/>
      <c r="F222" s="36" t="str">
        <f aca="false">IF(IF(ISNUMBER($B222),AND($B222=INT($B222),$B222&gt;=DATE(2000,1,1),$B222&lt;=DATE(2099,12,31)),FALSE()),CHOOSE(WEEKDAY($B222,2),"Monday","Tuesday","Wednesday","Thursday","Friday","Saturday","Sunday"),"")</f>
        <v/>
      </c>
      <c r="G222" s="36" t="str">
        <f aca="false">IF($J222&lt;&gt;1,"",MAX(0,INT((MIN(WinStart+83,$M222)-MAX($K222,$K222+ROUNDUP((WinStart-$K222)/$L222,0)*$L222))/$L222)+1))</f>
        <v/>
      </c>
      <c r="H222" s="37" t="str">
        <f aca="false">IF(AND($A222="",$B222="",$C222="",$D222="",$E222=""),"",IF($I222="","OK","Check details"))</f>
        <v/>
      </c>
      <c r="I222" s="38" t="str">
        <f aca="false">IF(AND($A222="",$B222="",$C222="",$D222="",$E222=""),"",TRIM(IF(TRIM($A222&amp;"")="","Label is missing. ","")&amp;IF($B222="","First visit is missing. ",IF(NOT(ISNUMBER($B222)),"First visit isn't a date (it's text). ",IF($B222&lt;&gt;INT($B222),"First visit has a time; enter a date only. ",IF(OR($B222&lt;DATE(2000,1,1),$B222&gt;DATE(2099,12,31)),"First visit must be from 2000 to 2099. ",""))))&amp;IF($C222="","Repeat every is missing. ",IF(ISNA(MATCH($C222&amp;"",{"Weekly","Every 2 weeks","Every 3 weeks","Every 4 weeks"},0)),"Repeat every must be Weekly or Every 2, 3 or 4 weeks. ",""))&amp;IF($D222="","Visit length is missing. ",IF(NOT(ISNUMBER($D222)),"Visit length must be a number of hours. ",IF($D222&lt;0,"Visit length can't be negative. ",IF($D222=0,"Visit length must be more than 0. ",IF(ABS($D222*100-ROUND($D222*100,0))&gt;0.000001,"Visit length: use up to 2 decimals. ",IF($D222&gt;24,"Visit length: 24 hours or less. ",""))))))&amp;IF($E222="","",IF(NOT(ISNUMBER($E222)),"Last visit isn't a date (it's text). ",IF($E222&lt;&gt;INT($E222),"Last visit has a time; enter a date only. ",IF(OR($E222&lt;DATE(2000,1,1),$E222&gt;DATE(2099,12,31)),"Last visit must be from 2000 to 2099. ",IF(AND(IF(ISNUMBER($B222),AND($B222=INT($B222),$B222&gt;=DATE(2000,1,1),$B222&lt;=DATE(2099,12,31)),FALSE()),$E222&lt;$B222),"Last visit is before the first visit. ","")))))))</f>
        <v/>
      </c>
      <c r="J222" s="39" t="n">
        <f aca="false">IF($H222="OK",1,0)</f>
        <v>0</v>
      </c>
      <c r="K222" s="40" t="n">
        <f aca="false">IF($J222=1,$B222,0)</f>
        <v>0</v>
      </c>
      <c r="L222" s="39" t="n">
        <f aca="false">IF($J222=1,7*MATCH($C222&amp;"",{"Weekly","Every 2 weeks","Every 3 weeks","Every 4 weeks"},0),7)</f>
        <v>7</v>
      </c>
      <c r="M222" s="40" t="n">
        <f aca="false">IF($J222=1,IF($E222="",2958465,$E222),0)</f>
        <v>0</v>
      </c>
      <c r="N222" s="39" t="n">
        <f aca="false">IF($J222=1,ROUND($D222*100,0),0)</f>
        <v>0</v>
      </c>
      <c r="O222" s="40" t="str">
        <f aca="false">IF($J222&lt;&gt;1,"",IF(AND((WeekMon+WEEKDAY($K222,2)-1)&gt;=$K222,MOD((WeekMon+WEEKDAY($K222,2)-1)-$K222,$L222)=0,(WeekMon+WEEKDAY($K222,2)-1)&lt;=$M222),(WeekMon+WEEKDAY($K222,2)-1),""))</f>
        <v/>
      </c>
      <c r="P222" s="39" t="str">
        <f aca="false">IF($O222="","",($O222-WeekMon)*1000+ROW()-11)</f>
        <v/>
      </c>
    </row>
    <row r="223" customFormat="false" ht="15" hidden="false" customHeight="false" outlineLevel="0" collapsed="false">
      <c r="A223" s="33"/>
      <c r="B223" s="34"/>
      <c r="C223" s="33"/>
      <c r="D223" s="35"/>
      <c r="E223" s="34"/>
      <c r="F223" s="36" t="str">
        <f aca="false">IF(IF(ISNUMBER($B223),AND($B223=INT($B223),$B223&gt;=DATE(2000,1,1),$B223&lt;=DATE(2099,12,31)),FALSE()),CHOOSE(WEEKDAY($B223,2),"Monday","Tuesday","Wednesday","Thursday","Friday","Saturday","Sunday"),"")</f>
        <v/>
      </c>
      <c r="G223" s="36" t="str">
        <f aca="false">IF($J223&lt;&gt;1,"",MAX(0,INT((MIN(WinStart+83,$M223)-MAX($K223,$K223+ROUNDUP((WinStart-$K223)/$L223,0)*$L223))/$L223)+1))</f>
        <v/>
      </c>
      <c r="H223" s="37" t="str">
        <f aca="false">IF(AND($A223="",$B223="",$C223="",$D223="",$E223=""),"",IF($I223="","OK","Check details"))</f>
        <v/>
      </c>
      <c r="I223" s="38" t="str">
        <f aca="false">IF(AND($A223="",$B223="",$C223="",$D223="",$E223=""),"",TRIM(IF(TRIM($A223&amp;"")="","Label is missing. ","")&amp;IF($B223="","First visit is missing. ",IF(NOT(ISNUMBER($B223)),"First visit isn't a date (it's text). ",IF($B223&lt;&gt;INT($B223),"First visit has a time; enter a date only. ",IF(OR($B223&lt;DATE(2000,1,1),$B223&gt;DATE(2099,12,31)),"First visit must be from 2000 to 2099. ",""))))&amp;IF($C223="","Repeat every is missing. ",IF(ISNA(MATCH($C223&amp;"",{"Weekly","Every 2 weeks","Every 3 weeks","Every 4 weeks"},0)),"Repeat every must be Weekly or Every 2, 3 or 4 weeks. ",""))&amp;IF($D223="","Visit length is missing. ",IF(NOT(ISNUMBER($D223)),"Visit length must be a number of hours. ",IF($D223&lt;0,"Visit length can't be negative. ",IF($D223=0,"Visit length must be more than 0. ",IF(ABS($D223*100-ROUND($D223*100,0))&gt;0.000001,"Visit length: use up to 2 decimals. ",IF($D223&gt;24,"Visit length: 24 hours or less. ",""))))))&amp;IF($E223="","",IF(NOT(ISNUMBER($E223)),"Last visit isn't a date (it's text). ",IF($E223&lt;&gt;INT($E223),"Last visit has a time; enter a date only. ",IF(OR($E223&lt;DATE(2000,1,1),$E223&gt;DATE(2099,12,31)),"Last visit must be from 2000 to 2099. ",IF(AND(IF(ISNUMBER($B223),AND($B223=INT($B223),$B223&gt;=DATE(2000,1,1),$B223&lt;=DATE(2099,12,31)),FALSE()),$E223&lt;$B223),"Last visit is before the first visit. ","")))))))</f>
        <v/>
      </c>
      <c r="J223" s="39" t="n">
        <f aca="false">IF($H223="OK",1,0)</f>
        <v>0</v>
      </c>
      <c r="K223" s="40" t="n">
        <f aca="false">IF($J223=1,$B223,0)</f>
        <v>0</v>
      </c>
      <c r="L223" s="39" t="n">
        <f aca="false">IF($J223=1,7*MATCH($C223&amp;"",{"Weekly","Every 2 weeks","Every 3 weeks","Every 4 weeks"},0),7)</f>
        <v>7</v>
      </c>
      <c r="M223" s="40" t="n">
        <f aca="false">IF($J223=1,IF($E223="",2958465,$E223),0)</f>
        <v>0</v>
      </c>
      <c r="N223" s="39" t="n">
        <f aca="false">IF($J223=1,ROUND($D223*100,0),0)</f>
        <v>0</v>
      </c>
      <c r="O223" s="40" t="str">
        <f aca="false">IF($J223&lt;&gt;1,"",IF(AND((WeekMon+WEEKDAY($K223,2)-1)&gt;=$K223,MOD((WeekMon+WEEKDAY($K223,2)-1)-$K223,$L223)=0,(WeekMon+WEEKDAY($K223,2)-1)&lt;=$M223),(WeekMon+WEEKDAY($K223,2)-1),""))</f>
        <v/>
      </c>
      <c r="P223" s="39" t="str">
        <f aca="false">IF($O223="","",($O223-WeekMon)*1000+ROW()-11)</f>
        <v/>
      </c>
    </row>
    <row r="224" customFormat="false" ht="15" hidden="false" customHeight="false" outlineLevel="0" collapsed="false">
      <c r="A224" s="33"/>
      <c r="B224" s="34"/>
      <c r="C224" s="33"/>
      <c r="D224" s="35"/>
      <c r="E224" s="34"/>
      <c r="F224" s="36" t="str">
        <f aca="false">IF(IF(ISNUMBER($B224),AND($B224=INT($B224),$B224&gt;=DATE(2000,1,1),$B224&lt;=DATE(2099,12,31)),FALSE()),CHOOSE(WEEKDAY($B224,2),"Monday","Tuesday","Wednesday","Thursday","Friday","Saturday","Sunday"),"")</f>
        <v/>
      </c>
      <c r="G224" s="36" t="str">
        <f aca="false">IF($J224&lt;&gt;1,"",MAX(0,INT((MIN(WinStart+83,$M224)-MAX($K224,$K224+ROUNDUP((WinStart-$K224)/$L224,0)*$L224))/$L224)+1))</f>
        <v/>
      </c>
      <c r="H224" s="37" t="str">
        <f aca="false">IF(AND($A224="",$B224="",$C224="",$D224="",$E224=""),"",IF($I224="","OK","Check details"))</f>
        <v/>
      </c>
      <c r="I224" s="38" t="str">
        <f aca="false">IF(AND($A224="",$B224="",$C224="",$D224="",$E224=""),"",TRIM(IF(TRIM($A224&amp;"")="","Label is missing. ","")&amp;IF($B224="","First visit is missing. ",IF(NOT(ISNUMBER($B224)),"First visit isn't a date (it's text). ",IF($B224&lt;&gt;INT($B224),"First visit has a time; enter a date only. ",IF(OR($B224&lt;DATE(2000,1,1),$B224&gt;DATE(2099,12,31)),"First visit must be from 2000 to 2099. ",""))))&amp;IF($C224="","Repeat every is missing. ",IF(ISNA(MATCH($C224&amp;"",{"Weekly","Every 2 weeks","Every 3 weeks","Every 4 weeks"},0)),"Repeat every must be Weekly or Every 2, 3 or 4 weeks. ",""))&amp;IF($D224="","Visit length is missing. ",IF(NOT(ISNUMBER($D224)),"Visit length must be a number of hours. ",IF($D224&lt;0,"Visit length can't be negative. ",IF($D224=0,"Visit length must be more than 0. ",IF(ABS($D224*100-ROUND($D224*100,0))&gt;0.000001,"Visit length: use up to 2 decimals. ",IF($D224&gt;24,"Visit length: 24 hours or less. ",""))))))&amp;IF($E224="","",IF(NOT(ISNUMBER($E224)),"Last visit isn't a date (it's text). ",IF($E224&lt;&gt;INT($E224),"Last visit has a time; enter a date only. ",IF(OR($E224&lt;DATE(2000,1,1),$E224&gt;DATE(2099,12,31)),"Last visit must be from 2000 to 2099. ",IF(AND(IF(ISNUMBER($B224),AND($B224=INT($B224),$B224&gt;=DATE(2000,1,1),$B224&lt;=DATE(2099,12,31)),FALSE()),$E224&lt;$B224),"Last visit is before the first visit. ","")))))))</f>
        <v/>
      </c>
      <c r="J224" s="39" t="n">
        <f aca="false">IF($H224="OK",1,0)</f>
        <v>0</v>
      </c>
      <c r="K224" s="40" t="n">
        <f aca="false">IF($J224=1,$B224,0)</f>
        <v>0</v>
      </c>
      <c r="L224" s="39" t="n">
        <f aca="false">IF($J224=1,7*MATCH($C224&amp;"",{"Weekly","Every 2 weeks","Every 3 weeks","Every 4 weeks"},0),7)</f>
        <v>7</v>
      </c>
      <c r="M224" s="40" t="n">
        <f aca="false">IF($J224=1,IF($E224="",2958465,$E224),0)</f>
        <v>0</v>
      </c>
      <c r="N224" s="39" t="n">
        <f aca="false">IF($J224=1,ROUND($D224*100,0),0)</f>
        <v>0</v>
      </c>
      <c r="O224" s="40" t="str">
        <f aca="false">IF($J224&lt;&gt;1,"",IF(AND((WeekMon+WEEKDAY($K224,2)-1)&gt;=$K224,MOD((WeekMon+WEEKDAY($K224,2)-1)-$K224,$L224)=0,(WeekMon+WEEKDAY($K224,2)-1)&lt;=$M224),(WeekMon+WEEKDAY($K224,2)-1),""))</f>
        <v/>
      </c>
      <c r="P224" s="39" t="str">
        <f aca="false">IF($O224="","",($O224-WeekMon)*1000+ROW()-11)</f>
        <v/>
      </c>
    </row>
    <row r="225" customFormat="false" ht="15" hidden="false" customHeight="false" outlineLevel="0" collapsed="false">
      <c r="A225" s="33"/>
      <c r="B225" s="34"/>
      <c r="C225" s="33"/>
      <c r="D225" s="35"/>
      <c r="E225" s="34"/>
      <c r="F225" s="36" t="str">
        <f aca="false">IF(IF(ISNUMBER($B225),AND($B225=INT($B225),$B225&gt;=DATE(2000,1,1),$B225&lt;=DATE(2099,12,31)),FALSE()),CHOOSE(WEEKDAY($B225,2),"Monday","Tuesday","Wednesday","Thursday","Friday","Saturday","Sunday"),"")</f>
        <v/>
      </c>
      <c r="G225" s="36" t="str">
        <f aca="false">IF($J225&lt;&gt;1,"",MAX(0,INT((MIN(WinStart+83,$M225)-MAX($K225,$K225+ROUNDUP((WinStart-$K225)/$L225,0)*$L225))/$L225)+1))</f>
        <v/>
      </c>
      <c r="H225" s="37" t="str">
        <f aca="false">IF(AND($A225="",$B225="",$C225="",$D225="",$E225=""),"",IF($I225="","OK","Check details"))</f>
        <v/>
      </c>
      <c r="I225" s="38" t="str">
        <f aca="false">IF(AND($A225="",$B225="",$C225="",$D225="",$E225=""),"",TRIM(IF(TRIM($A225&amp;"")="","Label is missing. ","")&amp;IF($B225="","First visit is missing. ",IF(NOT(ISNUMBER($B225)),"First visit isn't a date (it's text). ",IF($B225&lt;&gt;INT($B225),"First visit has a time; enter a date only. ",IF(OR($B225&lt;DATE(2000,1,1),$B225&gt;DATE(2099,12,31)),"First visit must be from 2000 to 2099. ",""))))&amp;IF($C225="","Repeat every is missing. ",IF(ISNA(MATCH($C225&amp;"",{"Weekly","Every 2 weeks","Every 3 weeks","Every 4 weeks"},0)),"Repeat every must be Weekly or Every 2, 3 or 4 weeks. ",""))&amp;IF($D225="","Visit length is missing. ",IF(NOT(ISNUMBER($D225)),"Visit length must be a number of hours. ",IF($D225&lt;0,"Visit length can't be negative. ",IF($D225=0,"Visit length must be more than 0. ",IF(ABS($D225*100-ROUND($D225*100,0))&gt;0.000001,"Visit length: use up to 2 decimals. ",IF($D225&gt;24,"Visit length: 24 hours or less. ",""))))))&amp;IF($E225="","",IF(NOT(ISNUMBER($E225)),"Last visit isn't a date (it's text). ",IF($E225&lt;&gt;INT($E225),"Last visit has a time; enter a date only. ",IF(OR($E225&lt;DATE(2000,1,1),$E225&gt;DATE(2099,12,31)),"Last visit must be from 2000 to 2099. ",IF(AND(IF(ISNUMBER($B225),AND($B225=INT($B225),$B225&gt;=DATE(2000,1,1),$B225&lt;=DATE(2099,12,31)),FALSE()),$E225&lt;$B225),"Last visit is before the first visit. ","")))))))</f>
        <v/>
      </c>
      <c r="J225" s="39" t="n">
        <f aca="false">IF($H225="OK",1,0)</f>
        <v>0</v>
      </c>
      <c r="K225" s="40" t="n">
        <f aca="false">IF($J225=1,$B225,0)</f>
        <v>0</v>
      </c>
      <c r="L225" s="39" t="n">
        <f aca="false">IF($J225=1,7*MATCH($C225&amp;"",{"Weekly","Every 2 weeks","Every 3 weeks","Every 4 weeks"},0),7)</f>
        <v>7</v>
      </c>
      <c r="M225" s="40" t="n">
        <f aca="false">IF($J225=1,IF($E225="",2958465,$E225),0)</f>
        <v>0</v>
      </c>
      <c r="N225" s="39" t="n">
        <f aca="false">IF($J225=1,ROUND($D225*100,0),0)</f>
        <v>0</v>
      </c>
      <c r="O225" s="40" t="str">
        <f aca="false">IF($J225&lt;&gt;1,"",IF(AND((WeekMon+WEEKDAY($K225,2)-1)&gt;=$K225,MOD((WeekMon+WEEKDAY($K225,2)-1)-$K225,$L225)=0,(WeekMon+WEEKDAY($K225,2)-1)&lt;=$M225),(WeekMon+WEEKDAY($K225,2)-1),""))</f>
        <v/>
      </c>
      <c r="P225" s="39" t="str">
        <f aca="false">IF($O225="","",($O225-WeekMon)*1000+ROW()-11)</f>
        <v/>
      </c>
    </row>
    <row r="226" customFormat="false" ht="15" hidden="false" customHeight="false" outlineLevel="0" collapsed="false">
      <c r="A226" s="33"/>
      <c r="B226" s="34"/>
      <c r="C226" s="33"/>
      <c r="D226" s="35"/>
      <c r="E226" s="34"/>
      <c r="F226" s="36" t="str">
        <f aca="false">IF(IF(ISNUMBER($B226),AND($B226=INT($B226),$B226&gt;=DATE(2000,1,1),$B226&lt;=DATE(2099,12,31)),FALSE()),CHOOSE(WEEKDAY($B226,2),"Monday","Tuesday","Wednesday","Thursday","Friday","Saturday","Sunday"),"")</f>
        <v/>
      </c>
      <c r="G226" s="36" t="str">
        <f aca="false">IF($J226&lt;&gt;1,"",MAX(0,INT((MIN(WinStart+83,$M226)-MAX($K226,$K226+ROUNDUP((WinStart-$K226)/$L226,0)*$L226))/$L226)+1))</f>
        <v/>
      </c>
      <c r="H226" s="37" t="str">
        <f aca="false">IF(AND($A226="",$B226="",$C226="",$D226="",$E226=""),"",IF($I226="","OK","Check details"))</f>
        <v/>
      </c>
      <c r="I226" s="38" t="str">
        <f aca="false">IF(AND($A226="",$B226="",$C226="",$D226="",$E226=""),"",TRIM(IF(TRIM($A226&amp;"")="","Label is missing. ","")&amp;IF($B226="","First visit is missing. ",IF(NOT(ISNUMBER($B226)),"First visit isn't a date (it's text). ",IF($B226&lt;&gt;INT($B226),"First visit has a time; enter a date only. ",IF(OR($B226&lt;DATE(2000,1,1),$B226&gt;DATE(2099,12,31)),"First visit must be from 2000 to 2099. ",""))))&amp;IF($C226="","Repeat every is missing. ",IF(ISNA(MATCH($C226&amp;"",{"Weekly","Every 2 weeks","Every 3 weeks","Every 4 weeks"},0)),"Repeat every must be Weekly or Every 2, 3 or 4 weeks. ",""))&amp;IF($D226="","Visit length is missing. ",IF(NOT(ISNUMBER($D226)),"Visit length must be a number of hours. ",IF($D226&lt;0,"Visit length can't be negative. ",IF($D226=0,"Visit length must be more than 0. ",IF(ABS($D226*100-ROUND($D226*100,0))&gt;0.000001,"Visit length: use up to 2 decimals. ",IF($D226&gt;24,"Visit length: 24 hours or less. ",""))))))&amp;IF($E226="","",IF(NOT(ISNUMBER($E226)),"Last visit isn't a date (it's text). ",IF($E226&lt;&gt;INT($E226),"Last visit has a time; enter a date only. ",IF(OR($E226&lt;DATE(2000,1,1),$E226&gt;DATE(2099,12,31)),"Last visit must be from 2000 to 2099. ",IF(AND(IF(ISNUMBER($B226),AND($B226=INT($B226),$B226&gt;=DATE(2000,1,1),$B226&lt;=DATE(2099,12,31)),FALSE()),$E226&lt;$B226),"Last visit is before the first visit. ","")))))))</f>
        <v/>
      </c>
      <c r="J226" s="39" t="n">
        <f aca="false">IF($H226="OK",1,0)</f>
        <v>0</v>
      </c>
      <c r="K226" s="40" t="n">
        <f aca="false">IF($J226=1,$B226,0)</f>
        <v>0</v>
      </c>
      <c r="L226" s="39" t="n">
        <f aca="false">IF($J226=1,7*MATCH($C226&amp;"",{"Weekly","Every 2 weeks","Every 3 weeks","Every 4 weeks"},0),7)</f>
        <v>7</v>
      </c>
      <c r="M226" s="40" t="n">
        <f aca="false">IF($J226=1,IF($E226="",2958465,$E226),0)</f>
        <v>0</v>
      </c>
      <c r="N226" s="39" t="n">
        <f aca="false">IF($J226=1,ROUND($D226*100,0),0)</f>
        <v>0</v>
      </c>
      <c r="O226" s="40" t="str">
        <f aca="false">IF($J226&lt;&gt;1,"",IF(AND((WeekMon+WEEKDAY($K226,2)-1)&gt;=$K226,MOD((WeekMon+WEEKDAY($K226,2)-1)-$K226,$L226)=0,(WeekMon+WEEKDAY($K226,2)-1)&lt;=$M226),(WeekMon+WEEKDAY($K226,2)-1),""))</f>
        <v/>
      </c>
      <c r="P226" s="39" t="str">
        <f aca="false">IF($O226="","",($O226-WeekMon)*1000+ROW()-11)</f>
        <v/>
      </c>
    </row>
    <row r="227" customFormat="false" ht="15" hidden="false" customHeight="false" outlineLevel="0" collapsed="false">
      <c r="A227" s="33"/>
      <c r="B227" s="34"/>
      <c r="C227" s="33"/>
      <c r="D227" s="35"/>
      <c r="E227" s="34"/>
      <c r="F227" s="36" t="str">
        <f aca="false">IF(IF(ISNUMBER($B227),AND($B227=INT($B227),$B227&gt;=DATE(2000,1,1),$B227&lt;=DATE(2099,12,31)),FALSE()),CHOOSE(WEEKDAY($B227,2),"Monday","Tuesday","Wednesday","Thursday","Friday","Saturday","Sunday"),"")</f>
        <v/>
      </c>
      <c r="G227" s="36" t="str">
        <f aca="false">IF($J227&lt;&gt;1,"",MAX(0,INT((MIN(WinStart+83,$M227)-MAX($K227,$K227+ROUNDUP((WinStart-$K227)/$L227,0)*$L227))/$L227)+1))</f>
        <v/>
      </c>
      <c r="H227" s="37" t="str">
        <f aca="false">IF(AND($A227="",$B227="",$C227="",$D227="",$E227=""),"",IF($I227="","OK","Check details"))</f>
        <v/>
      </c>
      <c r="I227" s="38" t="str">
        <f aca="false">IF(AND($A227="",$B227="",$C227="",$D227="",$E227=""),"",TRIM(IF(TRIM($A227&amp;"")="","Label is missing. ","")&amp;IF($B227="","First visit is missing. ",IF(NOT(ISNUMBER($B227)),"First visit isn't a date (it's text). ",IF($B227&lt;&gt;INT($B227),"First visit has a time; enter a date only. ",IF(OR($B227&lt;DATE(2000,1,1),$B227&gt;DATE(2099,12,31)),"First visit must be from 2000 to 2099. ",""))))&amp;IF($C227="","Repeat every is missing. ",IF(ISNA(MATCH($C227&amp;"",{"Weekly","Every 2 weeks","Every 3 weeks","Every 4 weeks"},0)),"Repeat every must be Weekly or Every 2, 3 or 4 weeks. ",""))&amp;IF($D227="","Visit length is missing. ",IF(NOT(ISNUMBER($D227)),"Visit length must be a number of hours. ",IF($D227&lt;0,"Visit length can't be negative. ",IF($D227=0,"Visit length must be more than 0. ",IF(ABS($D227*100-ROUND($D227*100,0))&gt;0.000001,"Visit length: use up to 2 decimals. ",IF($D227&gt;24,"Visit length: 24 hours or less. ",""))))))&amp;IF($E227="","",IF(NOT(ISNUMBER($E227)),"Last visit isn't a date (it's text). ",IF($E227&lt;&gt;INT($E227),"Last visit has a time; enter a date only. ",IF(OR($E227&lt;DATE(2000,1,1),$E227&gt;DATE(2099,12,31)),"Last visit must be from 2000 to 2099. ",IF(AND(IF(ISNUMBER($B227),AND($B227=INT($B227),$B227&gt;=DATE(2000,1,1),$B227&lt;=DATE(2099,12,31)),FALSE()),$E227&lt;$B227),"Last visit is before the first visit. ","")))))))</f>
        <v/>
      </c>
      <c r="J227" s="39" t="n">
        <f aca="false">IF($H227="OK",1,0)</f>
        <v>0</v>
      </c>
      <c r="K227" s="40" t="n">
        <f aca="false">IF($J227=1,$B227,0)</f>
        <v>0</v>
      </c>
      <c r="L227" s="39" t="n">
        <f aca="false">IF($J227=1,7*MATCH($C227&amp;"",{"Weekly","Every 2 weeks","Every 3 weeks","Every 4 weeks"},0),7)</f>
        <v>7</v>
      </c>
      <c r="M227" s="40" t="n">
        <f aca="false">IF($J227=1,IF($E227="",2958465,$E227),0)</f>
        <v>0</v>
      </c>
      <c r="N227" s="39" t="n">
        <f aca="false">IF($J227=1,ROUND($D227*100,0),0)</f>
        <v>0</v>
      </c>
      <c r="O227" s="40" t="str">
        <f aca="false">IF($J227&lt;&gt;1,"",IF(AND((WeekMon+WEEKDAY($K227,2)-1)&gt;=$K227,MOD((WeekMon+WEEKDAY($K227,2)-1)-$K227,$L227)=0,(WeekMon+WEEKDAY($K227,2)-1)&lt;=$M227),(WeekMon+WEEKDAY($K227,2)-1),""))</f>
        <v/>
      </c>
      <c r="P227" s="39" t="str">
        <f aca="false">IF($O227="","",($O227-WeekMon)*1000+ROW()-11)</f>
        <v/>
      </c>
    </row>
    <row r="228" customFormat="false" ht="15" hidden="false" customHeight="false" outlineLevel="0" collapsed="false">
      <c r="A228" s="33"/>
      <c r="B228" s="34"/>
      <c r="C228" s="33"/>
      <c r="D228" s="35"/>
      <c r="E228" s="34"/>
      <c r="F228" s="36" t="str">
        <f aca="false">IF(IF(ISNUMBER($B228),AND($B228=INT($B228),$B228&gt;=DATE(2000,1,1),$B228&lt;=DATE(2099,12,31)),FALSE()),CHOOSE(WEEKDAY($B228,2),"Monday","Tuesday","Wednesday","Thursday","Friday","Saturday","Sunday"),"")</f>
        <v/>
      </c>
      <c r="G228" s="36" t="str">
        <f aca="false">IF($J228&lt;&gt;1,"",MAX(0,INT((MIN(WinStart+83,$M228)-MAX($K228,$K228+ROUNDUP((WinStart-$K228)/$L228,0)*$L228))/$L228)+1))</f>
        <v/>
      </c>
      <c r="H228" s="37" t="str">
        <f aca="false">IF(AND($A228="",$B228="",$C228="",$D228="",$E228=""),"",IF($I228="","OK","Check details"))</f>
        <v/>
      </c>
      <c r="I228" s="38" t="str">
        <f aca="false">IF(AND($A228="",$B228="",$C228="",$D228="",$E228=""),"",TRIM(IF(TRIM($A228&amp;"")="","Label is missing. ","")&amp;IF($B228="","First visit is missing. ",IF(NOT(ISNUMBER($B228)),"First visit isn't a date (it's text). ",IF($B228&lt;&gt;INT($B228),"First visit has a time; enter a date only. ",IF(OR($B228&lt;DATE(2000,1,1),$B228&gt;DATE(2099,12,31)),"First visit must be from 2000 to 2099. ",""))))&amp;IF($C228="","Repeat every is missing. ",IF(ISNA(MATCH($C228&amp;"",{"Weekly","Every 2 weeks","Every 3 weeks","Every 4 weeks"},0)),"Repeat every must be Weekly or Every 2, 3 or 4 weeks. ",""))&amp;IF($D228="","Visit length is missing. ",IF(NOT(ISNUMBER($D228)),"Visit length must be a number of hours. ",IF($D228&lt;0,"Visit length can't be negative. ",IF($D228=0,"Visit length must be more than 0. ",IF(ABS($D228*100-ROUND($D228*100,0))&gt;0.000001,"Visit length: use up to 2 decimals. ",IF($D228&gt;24,"Visit length: 24 hours or less. ",""))))))&amp;IF($E228="","",IF(NOT(ISNUMBER($E228)),"Last visit isn't a date (it's text). ",IF($E228&lt;&gt;INT($E228),"Last visit has a time; enter a date only. ",IF(OR($E228&lt;DATE(2000,1,1),$E228&gt;DATE(2099,12,31)),"Last visit must be from 2000 to 2099. ",IF(AND(IF(ISNUMBER($B228),AND($B228=INT($B228),$B228&gt;=DATE(2000,1,1),$B228&lt;=DATE(2099,12,31)),FALSE()),$E228&lt;$B228),"Last visit is before the first visit. ","")))))))</f>
        <v/>
      </c>
      <c r="J228" s="39" t="n">
        <f aca="false">IF($H228="OK",1,0)</f>
        <v>0</v>
      </c>
      <c r="K228" s="40" t="n">
        <f aca="false">IF($J228=1,$B228,0)</f>
        <v>0</v>
      </c>
      <c r="L228" s="39" t="n">
        <f aca="false">IF($J228=1,7*MATCH($C228&amp;"",{"Weekly","Every 2 weeks","Every 3 weeks","Every 4 weeks"},0),7)</f>
        <v>7</v>
      </c>
      <c r="M228" s="40" t="n">
        <f aca="false">IF($J228=1,IF($E228="",2958465,$E228),0)</f>
        <v>0</v>
      </c>
      <c r="N228" s="39" t="n">
        <f aca="false">IF($J228=1,ROUND($D228*100,0),0)</f>
        <v>0</v>
      </c>
      <c r="O228" s="40" t="str">
        <f aca="false">IF($J228&lt;&gt;1,"",IF(AND((WeekMon+WEEKDAY($K228,2)-1)&gt;=$K228,MOD((WeekMon+WEEKDAY($K228,2)-1)-$K228,$L228)=0,(WeekMon+WEEKDAY($K228,2)-1)&lt;=$M228),(WeekMon+WEEKDAY($K228,2)-1),""))</f>
        <v/>
      </c>
      <c r="P228" s="39" t="str">
        <f aca="false">IF($O228="","",($O228-WeekMon)*1000+ROW()-11)</f>
        <v/>
      </c>
    </row>
    <row r="229" customFormat="false" ht="15" hidden="false" customHeight="false" outlineLevel="0" collapsed="false">
      <c r="A229" s="33"/>
      <c r="B229" s="34"/>
      <c r="C229" s="33"/>
      <c r="D229" s="35"/>
      <c r="E229" s="34"/>
      <c r="F229" s="36" t="str">
        <f aca="false">IF(IF(ISNUMBER($B229),AND($B229=INT($B229),$B229&gt;=DATE(2000,1,1),$B229&lt;=DATE(2099,12,31)),FALSE()),CHOOSE(WEEKDAY($B229,2),"Monday","Tuesday","Wednesday","Thursday","Friday","Saturday","Sunday"),"")</f>
        <v/>
      </c>
      <c r="G229" s="36" t="str">
        <f aca="false">IF($J229&lt;&gt;1,"",MAX(0,INT((MIN(WinStart+83,$M229)-MAX($K229,$K229+ROUNDUP((WinStart-$K229)/$L229,0)*$L229))/$L229)+1))</f>
        <v/>
      </c>
      <c r="H229" s="37" t="str">
        <f aca="false">IF(AND($A229="",$B229="",$C229="",$D229="",$E229=""),"",IF($I229="","OK","Check details"))</f>
        <v/>
      </c>
      <c r="I229" s="38" t="str">
        <f aca="false">IF(AND($A229="",$B229="",$C229="",$D229="",$E229=""),"",TRIM(IF(TRIM($A229&amp;"")="","Label is missing. ","")&amp;IF($B229="","First visit is missing. ",IF(NOT(ISNUMBER($B229)),"First visit isn't a date (it's text). ",IF($B229&lt;&gt;INT($B229),"First visit has a time; enter a date only. ",IF(OR($B229&lt;DATE(2000,1,1),$B229&gt;DATE(2099,12,31)),"First visit must be from 2000 to 2099. ",""))))&amp;IF($C229="","Repeat every is missing. ",IF(ISNA(MATCH($C229&amp;"",{"Weekly","Every 2 weeks","Every 3 weeks","Every 4 weeks"},0)),"Repeat every must be Weekly or Every 2, 3 or 4 weeks. ",""))&amp;IF($D229="","Visit length is missing. ",IF(NOT(ISNUMBER($D229)),"Visit length must be a number of hours. ",IF($D229&lt;0,"Visit length can't be negative. ",IF($D229=0,"Visit length must be more than 0. ",IF(ABS($D229*100-ROUND($D229*100,0))&gt;0.000001,"Visit length: use up to 2 decimals. ",IF($D229&gt;24,"Visit length: 24 hours or less. ",""))))))&amp;IF($E229="","",IF(NOT(ISNUMBER($E229)),"Last visit isn't a date (it's text). ",IF($E229&lt;&gt;INT($E229),"Last visit has a time; enter a date only. ",IF(OR($E229&lt;DATE(2000,1,1),$E229&gt;DATE(2099,12,31)),"Last visit must be from 2000 to 2099. ",IF(AND(IF(ISNUMBER($B229),AND($B229=INT($B229),$B229&gt;=DATE(2000,1,1),$B229&lt;=DATE(2099,12,31)),FALSE()),$E229&lt;$B229),"Last visit is before the first visit. ","")))))))</f>
        <v/>
      </c>
      <c r="J229" s="39" t="n">
        <f aca="false">IF($H229="OK",1,0)</f>
        <v>0</v>
      </c>
      <c r="K229" s="40" t="n">
        <f aca="false">IF($J229=1,$B229,0)</f>
        <v>0</v>
      </c>
      <c r="L229" s="39" t="n">
        <f aca="false">IF($J229=1,7*MATCH($C229&amp;"",{"Weekly","Every 2 weeks","Every 3 weeks","Every 4 weeks"},0),7)</f>
        <v>7</v>
      </c>
      <c r="M229" s="40" t="n">
        <f aca="false">IF($J229=1,IF($E229="",2958465,$E229),0)</f>
        <v>0</v>
      </c>
      <c r="N229" s="39" t="n">
        <f aca="false">IF($J229=1,ROUND($D229*100,0),0)</f>
        <v>0</v>
      </c>
      <c r="O229" s="40" t="str">
        <f aca="false">IF($J229&lt;&gt;1,"",IF(AND((WeekMon+WEEKDAY($K229,2)-1)&gt;=$K229,MOD((WeekMon+WEEKDAY($K229,2)-1)-$K229,$L229)=0,(WeekMon+WEEKDAY($K229,2)-1)&lt;=$M229),(WeekMon+WEEKDAY($K229,2)-1),""))</f>
        <v/>
      </c>
      <c r="P229" s="39" t="str">
        <f aca="false">IF($O229="","",($O229-WeekMon)*1000+ROW()-11)</f>
        <v/>
      </c>
    </row>
    <row r="230" customFormat="false" ht="15" hidden="false" customHeight="false" outlineLevel="0" collapsed="false">
      <c r="A230" s="33"/>
      <c r="B230" s="34"/>
      <c r="C230" s="33"/>
      <c r="D230" s="35"/>
      <c r="E230" s="34"/>
      <c r="F230" s="36" t="str">
        <f aca="false">IF(IF(ISNUMBER($B230),AND($B230=INT($B230),$B230&gt;=DATE(2000,1,1),$B230&lt;=DATE(2099,12,31)),FALSE()),CHOOSE(WEEKDAY($B230,2),"Monday","Tuesday","Wednesday","Thursday","Friday","Saturday","Sunday"),"")</f>
        <v/>
      </c>
      <c r="G230" s="36" t="str">
        <f aca="false">IF($J230&lt;&gt;1,"",MAX(0,INT((MIN(WinStart+83,$M230)-MAX($K230,$K230+ROUNDUP((WinStart-$K230)/$L230,0)*$L230))/$L230)+1))</f>
        <v/>
      </c>
      <c r="H230" s="37" t="str">
        <f aca="false">IF(AND($A230="",$B230="",$C230="",$D230="",$E230=""),"",IF($I230="","OK","Check details"))</f>
        <v/>
      </c>
      <c r="I230" s="38" t="str">
        <f aca="false">IF(AND($A230="",$B230="",$C230="",$D230="",$E230=""),"",TRIM(IF(TRIM($A230&amp;"")="","Label is missing. ","")&amp;IF($B230="","First visit is missing. ",IF(NOT(ISNUMBER($B230)),"First visit isn't a date (it's text). ",IF($B230&lt;&gt;INT($B230),"First visit has a time; enter a date only. ",IF(OR($B230&lt;DATE(2000,1,1),$B230&gt;DATE(2099,12,31)),"First visit must be from 2000 to 2099. ",""))))&amp;IF($C230="","Repeat every is missing. ",IF(ISNA(MATCH($C230&amp;"",{"Weekly","Every 2 weeks","Every 3 weeks","Every 4 weeks"},0)),"Repeat every must be Weekly or Every 2, 3 or 4 weeks. ",""))&amp;IF($D230="","Visit length is missing. ",IF(NOT(ISNUMBER($D230)),"Visit length must be a number of hours. ",IF($D230&lt;0,"Visit length can't be negative. ",IF($D230=0,"Visit length must be more than 0. ",IF(ABS($D230*100-ROUND($D230*100,0))&gt;0.000001,"Visit length: use up to 2 decimals. ",IF($D230&gt;24,"Visit length: 24 hours or less. ",""))))))&amp;IF($E230="","",IF(NOT(ISNUMBER($E230)),"Last visit isn't a date (it's text). ",IF($E230&lt;&gt;INT($E230),"Last visit has a time; enter a date only. ",IF(OR($E230&lt;DATE(2000,1,1),$E230&gt;DATE(2099,12,31)),"Last visit must be from 2000 to 2099. ",IF(AND(IF(ISNUMBER($B230),AND($B230=INT($B230),$B230&gt;=DATE(2000,1,1),$B230&lt;=DATE(2099,12,31)),FALSE()),$E230&lt;$B230),"Last visit is before the first visit. ","")))))))</f>
        <v/>
      </c>
      <c r="J230" s="39" t="n">
        <f aca="false">IF($H230="OK",1,0)</f>
        <v>0</v>
      </c>
      <c r="K230" s="40" t="n">
        <f aca="false">IF($J230=1,$B230,0)</f>
        <v>0</v>
      </c>
      <c r="L230" s="39" t="n">
        <f aca="false">IF($J230=1,7*MATCH($C230&amp;"",{"Weekly","Every 2 weeks","Every 3 weeks","Every 4 weeks"},0),7)</f>
        <v>7</v>
      </c>
      <c r="M230" s="40" t="n">
        <f aca="false">IF($J230=1,IF($E230="",2958465,$E230),0)</f>
        <v>0</v>
      </c>
      <c r="N230" s="39" t="n">
        <f aca="false">IF($J230=1,ROUND($D230*100,0),0)</f>
        <v>0</v>
      </c>
      <c r="O230" s="40" t="str">
        <f aca="false">IF($J230&lt;&gt;1,"",IF(AND((WeekMon+WEEKDAY($K230,2)-1)&gt;=$K230,MOD((WeekMon+WEEKDAY($K230,2)-1)-$K230,$L230)=0,(WeekMon+WEEKDAY($K230,2)-1)&lt;=$M230),(WeekMon+WEEKDAY($K230,2)-1),""))</f>
        <v/>
      </c>
      <c r="P230" s="39" t="str">
        <f aca="false">IF($O230="","",($O230-WeekMon)*1000+ROW()-11)</f>
        <v/>
      </c>
    </row>
    <row r="231" customFormat="false" ht="15" hidden="false" customHeight="false" outlineLevel="0" collapsed="false">
      <c r="A231" s="33"/>
      <c r="B231" s="34"/>
      <c r="C231" s="33"/>
      <c r="D231" s="35"/>
      <c r="E231" s="34"/>
      <c r="F231" s="36" t="str">
        <f aca="false">IF(IF(ISNUMBER($B231),AND($B231=INT($B231),$B231&gt;=DATE(2000,1,1),$B231&lt;=DATE(2099,12,31)),FALSE()),CHOOSE(WEEKDAY($B231,2),"Monday","Tuesday","Wednesday","Thursday","Friday","Saturday","Sunday"),"")</f>
        <v/>
      </c>
      <c r="G231" s="36" t="str">
        <f aca="false">IF($J231&lt;&gt;1,"",MAX(0,INT((MIN(WinStart+83,$M231)-MAX($K231,$K231+ROUNDUP((WinStart-$K231)/$L231,0)*$L231))/$L231)+1))</f>
        <v/>
      </c>
      <c r="H231" s="37" t="str">
        <f aca="false">IF(AND($A231="",$B231="",$C231="",$D231="",$E231=""),"",IF($I231="","OK","Check details"))</f>
        <v/>
      </c>
      <c r="I231" s="38" t="str">
        <f aca="false">IF(AND($A231="",$B231="",$C231="",$D231="",$E231=""),"",TRIM(IF(TRIM($A231&amp;"")="","Label is missing. ","")&amp;IF($B231="","First visit is missing. ",IF(NOT(ISNUMBER($B231)),"First visit isn't a date (it's text). ",IF($B231&lt;&gt;INT($B231),"First visit has a time; enter a date only. ",IF(OR($B231&lt;DATE(2000,1,1),$B231&gt;DATE(2099,12,31)),"First visit must be from 2000 to 2099. ",""))))&amp;IF($C231="","Repeat every is missing. ",IF(ISNA(MATCH($C231&amp;"",{"Weekly","Every 2 weeks","Every 3 weeks","Every 4 weeks"},0)),"Repeat every must be Weekly or Every 2, 3 or 4 weeks. ",""))&amp;IF($D231="","Visit length is missing. ",IF(NOT(ISNUMBER($D231)),"Visit length must be a number of hours. ",IF($D231&lt;0,"Visit length can't be negative. ",IF($D231=0,"Visit length must be more than 0. ",IF(ABS($D231*100-ROUND($D231*100,0))&gt;0.000001,"Visit length: use up to 2 decimals. ",IF($D231&gt;24,"Visit length: 24 hours or less. ",""))))))&amp;IF($E231="","",IF(NOT(ISNUMBER($E231)),"Last visit isn't a date (it's text). ",IF($E231&lt;&gt;INT($E231),"Last visit has a time; enter a date only. ",IF(OR($E231&lt;DATE(2000,1,1),$E231&gt;DATE(2099,12,31)),"Last visit must be from 2000 to 2099. ",IF(AND(IF(ISNUMBER($B231),AND($B231=INT($B231),$B231&gt;=DATE(2000,1,1),$B231&lt;=DATE(2099,12,31)),FALSE()),$E231&lt;$B231),"Last visit is before the first visit. ","")))))))</f>
        <v/>
      </c>
      <c r="J231" s="39" t="n">
        <f aca="false">IF($H231="OK",1,0)</f>
        <v>0</v>
      </c>
      <c r="K231" s="40" t="n">
        <f aca="false">IF($J231=1,$B231,0)</f>
        <v>0</v>
      </c>
      <c r="L231" s="39" t="n">
        <f aca="false">IF($J231=1,7*MATCH($C231&amp;"",{"Weekly","Every 2 weeks","Every 3 weeks","Every 4 weeks"},0),7)</f>
        <v>7</v>
      </c>
      <c r="M231" s="40" t="n">
        <f aca="false">IF($J231=1,IF($E231="",2958465,$E231),0)</f>
        <v>0</v>
      </c>
      <c r="N231" s="39" t="n">
        <f aca="false">IF($J231=1,ROUND($D231*100,0),0)</f>
        <v>0</v>
      </c>
      <c r="O231" s="40" t="str">
        <f aca="false">IF($J231&lt;&gt;1,"",IF(AND((WeekMon+WEEKDAY($K231,2)-1)&gt;=$K231,MOD((WeekMon+WEEKDAY($K231,2)-1)-$K231,$L231)=0,(WeekMon+WEEKDAY($K231,2)-1)&lt;=$M231),(WeekMon+WEEKDAY($K231,2)-1),""))</f>
        <v/>
      </c>
      <c r="P231" s="39" t="str">
        <f aca="false">IF($O231="","",($O231-WeekMon)*1000+ROW()-11)</f>
        <v/>
      </c>
    </row>
    <row r="232" customFormat="false" ht="15" hidden="false" customHeight="false" outlineLevel="0" collapsed="false">
      <c r="A232" s="33"/>
      <c r="B232" s="34"/>
      <c r="C232" s="33"/>
      <c r="D232" s="35"/>
      <c r="E232" s="34"/>
      <c r="F232" s="36" t="str">
        <f aca="false">IF(IF(ISNUMBER($B232),AND($B232=INT($B232),$B232&gt;=DATE(2000,1,1),$B232&lt;=DATE(2099,12,31)),FALSE()),CHOOSE(WEEKDAY($B232,2),"Monday","Tuesday","Wednesday","Thursday","Friday","Saturday","Sunday"),"")</f>
        <v/>
      </c>
      <c r="G232" s="36" t="str">
        <f aca="false">IF($J232&lt;&gt;1,"",MAX(0,INT((MIN(WinStart+83,$M232)-MAX($K232,$K232+ROUNDUP((WinStart-$K232)/$L232,0)*$L232))/$L232)+1))</f>
        <v/>
      </c>
      <c r="H232" s="37" t="str">
        <f aca="false">IF(AND($A232="",$B232="",$C232="",$D232="",$E232=""),"",IF($I232="","OK","Check details"))</f>
        <v/>
      </c>
      <c r="I232" s="38" t="str">
        <f aca="false">IF(AND($A232="",$B232="",$C232="",$D232="",$E232=""),"",TRIM(IF(TRIM($A232&amp;"")="","Label is missing. ","")&amp;IF($B232="","First visit is missing. ",IF(NOT(ISNUMBER($B232)),"First visit isn't a date (it's text). ",IF($B232&lt;&gt;INT($B232),"First visit has a time; enter a date only. ",IF(OR($B232&lt;DATE(2000,1,1),$B232&gt;DATE(2099,12,31)),"First visit must be from 2000 to 2099. ",""))))&amp;IF($C232="","Repeat every is missing. ",IF(ISNA(MATCH($C232&amp;"",{"Weekly","Every 2 weeks","Every 3 weeks","Every 4 weeks"},0)),"Repeat every must be Weekly or Every 2, 3 or 4 weeks. ",""))&amp;IF($D232="","Visit length is missing. ",IF(NOT(ISNUMBER($D232)),"Visit length must be a number of hours. ",IF($D232&lt;0,"Visit length can't be negative. ",IF($D232=0,"Visit length must be more than 0. ",IF(ABS($D232*100-ROUND($D232*100,0))&gt;0.000001,"Visit length: use up to 2 decimals. ",IF($D232&gt;24,"Visit length: 24 hours or less. ",""))))))&amp;IF($E232="","",IF(NOT(ISNUMBER($E232)),"Last visit isn't a date (it's text). ",IF($E232&lt;&gt;INT($E232),"Last visit has a time; enter a date only. ",IF(OR($E232&lt;DATE(2000,1,1),$E232&gt;DATE(2099,12,31)),"Last visit must be from 2000 to 2099. ",IF(AND(IF(ISNUMBER($B232),AND($B232=INT($B232),$B232&gt;=DATE(2000,1,1),$B232&lt;=DATE(2099,12,31)),FALSE()),$E232&lt;$B232),"Last visit is before the first visit. ","")))))))</f>
        <v/>
      </c>
      <c r="J232" s="39" t="n">
        <f aca="false">IF($H232="OK",1,0)</f>
        <v>0</v>
      </c>
      <c r="K232" s="40" t="n">
        <f aca="false">IF($J232=1,$B232,0)</f>
        <v>0</v>
      </c>
      <c r="L232" s="39" t="n">
        <f aca="false">IF($J232=1,7*MATCH($C232&amp;"",{"Weekly","Every 2 weeks","Every 3 weeks","Every 4 weeks"},0),7)</f>
        <v>7</v>
      </c>
      <c r="M232" s="40" t="n">
        <f aca="false">IF($J232=1,IF($E232="",2958465,$E232),0)</f>
        <v>0</v>
      </c>
      <c r="N232" s="39" t="n">
        <f aca="false">IF($J232=1,ROUND($D232*100,0),0)</f>
        <v>0</v>
      </c>
      <c r="O232" s="40" t="str">
        <f aca="false">IF($J232&lt;&gt;1,"",IF(AND((WeekMon+WEEKDAY($K232,2)-1)&gt;=$K232,MOD((WeekMon+WEEKDAY($K232,2)-1)-$K232,$L232)=0,(WeekMon+WEEKDAY($K232,2)-1)&lt;=$M232),(WeekMon+WEEKDAY($K232,2)-1),""))</f>
        <v/>
      </c>
      <c r="P232" s="39" t="str">
        <f aca="false">IF($O232="","",($O232-WeekMon)*1000+ROW()-11)</f>
        <v/>
      </c>
    </row>
    <row r="233" customFormat="false" ht="15" hidden="false" customHeight="false" outlineLevel="0" collapsed="false">
      <c r="A233" s="33"/>
      <c r="B233" s="34"/>
      <c r="C233" s="33"/>
      <c r="D233" s="35"/>
      <c r="E233" s="34"/>
      <c r="F233" s="36" t="str">
        <f aca="false">IF(IF(ISNUMBER($B233),AND($B233=INT($B233),$B233&gt;=DATE(2000,1,1),$B233&lt;=DATE(2099,12,31)),FALSE()),CHOOSE(WEEKDAY($B233,2),"Monday","Tuesday","Wednesday","Thursday","Friday","Saturday","Sunday"),"")</f>
        <v/>
      </c>
      <c r="G233" s="36" t="str">
        <f aca="false">IF($J233&lt;&gt;1,"",MAX(0,INT((MIN(WinStart+83,$M233)-MAX($K233,$K233+ROUNDUP((WinStart-$K233)/$L233,0)*$L233))/$L233)+1))</f>
        <v/>
      </c>
      <c r="H233" s="37" t="str">
        <f aca="false">IF(AND($A233="",$B233="",$C233="",$D233="",$E233=""),"",IF($I233="","OK","Check details"))</f>
        <v/>
      </c>
      <c r="I233" s="38" t="str">
        <f aca="false">IF(AND($A233="",$B233="",$C233="",$D233="",$E233=""),"",TRIM(IF(TRIM($A233&amp;"")="","Label is missing. ","")&amp;IF($B233="","First visit is missing. ",IF(NOT(ISNUMBER($B233)),"First visit isn't a date (it's text). ",IF($B233&lt;&gt;INT($B233),"First visit has a time; enter a date only. ",IF(OR($B233&lt;DATE(2000,1,1),$B233&gt;DATE(2099,12,31)),"First visit must be from 2000 to 2099. ",""))))&amp;IF($C233="","Repeat every is missing. ",IF(ISNA(MATCH($C233&amp;"",{"Weekly","Every 2 weeks","Every 3 weeks","Every 4 weeks"},0)),"Repeat every must be Weekly or Every 2, 3 or 4 weeks. ",""))&amp;IF($D233="","Visit length is missing. ",IF(NOT(ISNUMBER($D233)),"Visit length must be a number of hours. ",IF($D233&lt;0,"Visit length can't be negative. ",IF($D233=0,"Visit length must be more than 0. ",IF(ABS($D233*100-ROUND($D233*100,0))&gt;0.000001,"Visit length: use up to 2 decimals. ",IF($D233&gt;24,"Visit length: 24 hours or less. ",""))))))&amp;IF($E233="","",IF(NOT(ISNUMBER($E233)),"Last visit isn't a date (it's text). ",IF($E233&lt;&gt;INT($E233),"Last visit has a time; enter a date only. ",IF(OR($E233&lt;DATE(2000,1,1),$E233&gt;DATE(2099,12,31)),"Last visit must be from 2000 to 2099. ",IF(AND(IF(ISNUMBER($B233),AND($B233=INT($B233),$B233&gt;=DATE(2000,1,1),$B233&lt;=DATE(2099,12,31)),FALSE()),$E233&lt;$B233),"Last visit is before the first visit. ","")))))))</f>
        <v/>
      </c>
      <c r="J233" s="39" t="n">
        <f aca="false">IF($H233="OK",1,0)</f>
        <v>0</v>
      </c>
      <c r="K233" s="40" t="n">
        <f aca="false">IF($J233=1,$B233,0)</f>
        <v>0</v>
      </c>
      <c r="L233" s="39" t="n">
        <f aca="false">IF($J233=1,7*MATCH($C233&amp;"",{"Weekly","Every 2 weeks","Every 3 weeks","Every 4 weeks"},0),7)</f>
        <v>7</v>
      </c>
      <c r="M233" s="40" t="n">
        <f aca="false">IF($J233=1,IF($E233="",2958465,$E233),0)</f>
        <v>0</v>
      </c>
      <c r="N233" s="39" t="n">
        <f aca="false">IF($J233=1,ROUND($D233*100,0),0)</f>
        <v>0</v>
      </c>
      <c r="O233" s="40" t="str">
        <f aca="false">IF($J233&lt;&gt;1,"",IF(AND((WeekMon+WEEKDAY($K233,2)-1)&gt;=$K233,MOD((WeekMon+WEEKDAY($K233,2)-1)-$K233,$L233)=0,(WeekMon+WEEKDAY($K233,2)-1)&lt;=$M233),(WeekMon+WEEKDAY($K233,2)-1),""))</f>
        <v/>
      </c>
      <c r="P233" s="39" t="str">
        <f aca="false">IF($O233="","",($O233-WeekMon)*1000+ROW()-11)</f>
        <v/>
      </c>
    </row>
    <row r="234" customFormat="false" ht="15" hidden="false" customHeight="false" outlineLevel="0" collapsed="false">
      <c r="A234" s="33"/>
      <c r="B234" s="34"/>
      <c r="C234" s="33"/>
      <c r="D234" s="35"/>
      <c r="E234" s="34"/>
      <c r="F234" s="36" t="str">
        <f aca="false">IF(IF(ISNUMBER($B234),AND($B234=INT($B234),$B234&gt;=DATE(2000,1,1),$B234&lt;=DATE(2099,12,31)),FALSE()),CHOOSE(WEEKDAY($B234,2),"Monday","Tuesday","Wednesday","Thursday","Friday","Saturday","Sunday"),"")</f>
        <v/>
      </c>
      <c r="G234" s="36" t="str">
        <f aca="false">IF($J234&lt;&gt;1,"",MAX(0,INT((MIN(WinStart+83,$M234)-MAX($K234,$K234+ROUNDUP((WinStart-$K234)/$L234,0)*$L234))/$L234)+1))</f>
        <v/>
      </c>
      <c r="H234" s="37" t="str">
        <f aca="false">IF(AND($A234="",$B234="",$C234="",$D234="",$E234=""),"",IF($I234="","OK","Check details"))</f>
        <v/>
      </c>
      <c r="I234" s="38" t="str">
        <f aca="false">IF(AND($A234="",$B234="",$C234="",$D234="",$E234=""),"",TRIM(IF(TRIM($A234&amp;"")="","Label is missing. ","")&amp;IF($B234="","First visit is missing. ",IF(NOT(ISNUMBER($B234)),"First visit isn't a date (it's text). ",IF($B234&lt;&gt;INT($B234),"First visit has a time; enter a date only. ",IF(OR($B234&lt;DATE(2000,1,1),$B234&gt;DATE(2099,12,31)),"First visit must be from 2000 to 2099. ",""))))&amp;IF($C234="","Repeat every is missing. ",IF(ISNA(MATCH($C234&amp;"",{"Weekly","Every 2 weeks","Every 3 weeks","Every 4 weeks"},0)),"Repeat every must be Weekly or Every 2, 3 or 4 weeks. ",""))&amp;IF($D234="","Visit length is missing. ",IF(NOT(ISNUMBER($D234)),"Visit length must be a number of hours. ",IF($D234&lt;0,"Visit length can't be negative. ",IF($D234=0,"Visit length must be more than 0. ",IF(ABS($D234*100-ROUND($D234*100,0))&gt;0.000001,"Visit length: use up to 2 decimals. ",IF($D234&gt;24,"Visit length: 24 hours or less. ",""))))))&amp;IF($E234="","",IF(NOT(ISNUMBER($E234)),"Last visit isn't a date (it's text). ",IF($E234&lt;&gt;INT($E234),"Last visit has a time; enter a date only. ",IF(OR($E234&lt;DATE(2000,1,1),$E234&gt;DATE(2099,12,31)),"Last visit must be from 2000 to 2099. ",IF(AND(IF(ISNUMBER($B234),AND($B234=INT($B234),$B234&gt;=DATE(2000,1,1),$B234&lt;=DATE(2099,12,31)),FALSE()),$E234&lt;$B234),"Last visit is before the first visit. ","")))))))</f>
        <v/>
      </c>
      <c r="J234" s="39" t="n">
        <f aca="false">IF($H234="OK",1,0)</f>
        <v>0</v>
      </c>
      <c r="K234" s="40" t="n">
        <f aca="false">IF($J234=1,$B234,0)</f>
        <v>0</v>
      </c>
      <c r="L234" s="39" t="n">
        <f aca="false">IF($J234=1,7*MATCH($C234&amp;"",{"Weekly","Every 2 weeks","Every 3 weeks","Every 4 weeks"},0),7)</f>
        <v>7</v>
      </c>
      <c r="M234" s="40" t="n">
        <f aca="false">IF($J234=1,IF($E234="",2958465,$E234),0)</f>
        <v>0</v>
      </c>
      <c r="N234" s="39" t="n">
        <f aca="false">IF($J234=1,ROUND($D234*100,0),0)</f>
        <v>0</v>
      </c>
      <c r="O234" s="40" t="str">
        <f aca="false">IF($J234&lt;&gt;1,"",IF(AND((WeekMon+WEEKDAY($K234,2)-1)&gt;=$K234,MOD((WeekMon+WEEKDAY($K234,2)-1)-$K234,$L234)=0,(WeekMon+WEEKDAY($K234,2)-1)&lt;=$M234),(WeekMon+WEEKDAY($K234,2)-1),""))</f>
        <v/>
      </c>
      <c r="P234" s="39" t="str">
        <f aca="false">IF($O234="","",($O234-WeekMon)*1000+ROW()-11)</f>
        <v/>
      </c>
    </row>
    <row r="235" customFormat="false" ht="15" hidden="false" customHeight="false" outlineLevel="0" collapsed="false">
      <c r="A235" s="33"/>
      <c r="B235" s="34"/>
      <c r="C235" s="33"/>
      <c r="D235" s="35"/>
      <c r="E235" s="34"/>
      <c r="F235" s="36" t="str">
        <f aca="false">IF(IF(ISNUMBER($B235),AND($B235=INT($B235),$B235&gt;=DATE(2000,1,1),$B235&lt;=DATE(2099,12,31)),FALSE()),CHOOSE(WEEKDAY($B235,2),"Monday","Tuesday","Wednesday","Thursday","Friday","Saturday","Sunday"),"")</f>
        <v/>
      </c>
      <c r="G235" s="36" t="str">
        <f aca="false">IF($J235&lt;&gt;1,"",MAX(0,INT((MIN(WinStart+83,$M235)-MAX($K235,$K235+ROUNDUP((WinStart-$K235)/$L235,0)*$L235))/$L235)+1))</f>
        <v/>
      </c>
      <c r="H235" s="37" t="str">
        <f aca="false">IF(AND($A235="",$B235="",$C235="",$D235="",$E235=""),"",IF($I235="","OK","Check details"))</f>
        <v/>
      </c>
      <c r="I235" s="38" t="str">
        <f aca="false">IF(AND($A235="",$B235="",$C235="",$D235="",$E235=""),"",TRIM(IF(TRIM($A235&amp;"")="","Label is missing. ","")&amp;IF($B235="","First visit is missing. ",IF(NOT(ISNUMBER($B235)),"First visit isn't a date (it's text). ",IF($B235&lt;&gt;INT($B235),"First visit has a time; enter a date only. ",IF(OR($B235&lt;DATE(2000,1,1),$B235&gt;DATE(2099,12,31)),"First visit must be from 2000 to 2099. ",""))))&amp;IF($C235="","Repeat every is missing. ",IF(ISNA(MATCH($C235&amp;"",{"Weekly","Every 2 weeks","Every 3 weeks","Every 4 weeks"},0)),"Repeat every must be Weekly or Every 2, 3 or 4 weeks. ",""))&amp;IF($D235="","Visit length is missing. ",IF(NOT(ISNUMBER($D235)),"Visit length must be a number of hours. ",IF($D235&lt;0,"Visit length can't be negative. ",IF($D235=0,"Visit length must be more than 0. ",IF(ABS($D235*100-ROUND($D235*100,0))&gt;0.000001,"Visit length: use up to 2 decimals. ",IF($D235&gt;24,"Visit length: 24 hours or less. ",""))))))&amp;IF($E235="","",IF(NOT(ISNUMBER($E235)),"Last visit isn't a date (it's text). ",IF($E235&lt;&gt;INT($E235),"Last visit has a time; enter a date only. ",IF(OR($E235&lt;DATE(2000,1,1),$E235&gt;DATE(2099,12,31)),"Last visit must be from 2000 to 2099. ",IF(AND(IF(ISNUMBER($B235),AND($B235=INT($B235),$B235&gt;=DATE(2000,1,1),$B235&lt;=DATE(2099,12,31)),FALSE()),$E235&lt;$B235),"Last visit is before the first visit. ","")))))))</f>
        <v/>
      </c>
      <c r="J235" s="39" t="n">
        <f aca="false">IF($H235="OK",1,0)</f>
        <v>0</v>
      </c>
      <c r="K235" s="40" t="n">
        <f aca="false">IF($J235=1,$B235,0)</f>
        <v>0</v>
      </c>
      <c r="L235" s="39" t="n">
        <f aca="false">IF($J235=1,7*MATCH($C235&amp;"",{"Weekly","Every 2 weeks","Every 3 weeks","Every 4 weeks"},0),7)</f>
        <v>7</v>
      </c>
      <c r="M235" s="40" t="n">
        <f aca="false">IF($J235=1,IF($E235="",2958465,$E235),0)</f>
        <v>0</v>
      </c>
      <c r="N235" s="39" t="n">
        <f aca="false">IF($J235=1,ROUND($D235*100,0),0)</f>
        <v>0</v>
      </c>
      <c r="O235" s="40" t="str">
        <f aca="false">IF($J235&lt;&gt;1,"",IF(AND((WeekMon+WEEKDAY($K235,2)-1)&gt;=$K235,MOD((WeekMon+WEEKDAY($K235,2)-1)-$K235,$L235)=0,(WeekMon+WEEKDAY($K235,2)-1)&lt;=$M235),(WeekMon+WEEKDAY($K235,2)-1),""))</f>
        <v/>
      </c>
      <c r="P235" s="39" t="str">
        <f aca="false">IF($O235="","",($O235-WeekMon)*1000+ROW()-11)</f>
        <v/>
      </c>
    </row>
    <row r="236" customFormat="false" ht="15" hidden="false" customHeight="false" outlineLevel="0" collapsed="false">
      <c r="A236" s="33"/>
      <c r="B236" s="34"/>
      <c r="C236" s="33"/>
      <c r="D236" s="35"/>
      <c r="E236" s="34"/>
      <c r="F236" s="36" t="str">
        <f aca="false">IF(IF(ISNUMBER($B236),AND($B236=INT($B236),$B236&gt;=DATE(2000,1,1),$B236&lt;=DATE(2099,12,31)),FALSE()),CHOOSE(WEEKDAY($B236,2),"Monday","Tuesday","Wednesday","Thursday","Friday","Saturday","Sunday"),"")</f>
        <v/>
      </c>
      <c r="G236" s="36" t="str">
        <f aca="false">IF($J236&lt;&gt;1,"",MAX(0,INT((MIN(WinStart+83,$M236)-MAX($K236,$K236+ROUNDUP((WinStart-$K236)/$L236,0)*$L236))/$L236)+1))</f>
        <v/>
      </c>
      <c r="H236" s="37" t="str">
        <f aca="false">IF(AND($A236="",$B236="",$C236="",$D236="",$E236=""),"",IF($I236="","OK","Check details"))</f>
        <v/>
      </c>
      <c r="I236" s="38" t="str">
        <f aca="false">IF(AND($A236="",$B236="",$C236="",$D236="",$E236=""),"",TRIM(IF(TRIM($A236&amp;"")="","Label is missing. ","")&amp;IF($B236="","First visit is missing. ",IF(NOT(ISNUMBER($B236)),"First visit isn't a date (it's text). ",IF($B236&lt;&gt;INT($B236),"First visit has a time; enter a date only. ",IF(OR($B236&lt;DATE(2000,1,1),$B236&gt;DATE(2099,12,31)),"First visit must be from 2000 to 2099. ",""))))&amp;IF($C236="","Repeat every is missing. ",IF(ISNA(MATCH($C236&amp;"",{"Weekly","Every 2 weeks","Every 3 weeks","Every 4 weeks"},0)),"Repeat every must be Weekly or Every 2, 3 or 4 weeks. ",""))&amp;IF($D236="","Visit length is missing. ",IF(NOT(ISNUMBER($D236)),"Visit length must be a number of hours. ",IF($D236&lt;0,"Visit length can't be negative. ",IF($D236=0,"Visit length must be more than 0. ",IF(ABS($D236*100-ROUND($D236*100,0))&gt;0.000001,"Visit length: use up to 2 decimals. ",IF($D236&gt;24,"Visit length: 24 hours or less. ",""))))))&amp;IF($E236="","",IF(NOT(ISNUMBER($E236)),"Last visit isn't a date (it's text). ",IF($E236&lt;&gt;INT($E236),"Last visit has a time; enter a date only. ",IF(OR($E236&lt;DATE(2000,1,1),$E236&gt;DATE(2099,12,31)),"Last visit must be from 2000 to 2099. ",IF(AND(IF(ISNUMBER($B236),AND($B236=INT($B236),$B236&gt;=DATE(2000,1,1),$B236&lt;=DATE(2099,12,31)),FALSE()),$E236&lt;$B236),"Last visit is before the first visit. ","")))))))</f>
        <v/>
      </c>
      <c r="J236" s="39" t="n">
        <f aca="false">IF($H236="OK",1,0)</f>
        <v>0</v>
      </c>
      <c r="K236" s="40" t="n">
        <f aca="false">IF($J236=1,$B236,0)</f>
        <v>0</v>
      </c>
      <c r="L236" s="39" t="n">
        <f aca="false">IF($J236=1,7*MATCH($C236&amp;"",{"Weekly","Every 2 weeks","Every 3 weeks","Every 4 weeks"},0),7)</f>
        <v>7</v>
      </c>
      <c r="M236" s="40" t="n">
        <f aca="false">IF($J236=1,IF($E236="",2958465,$E236),0)</f>
        <v>0</v>
      </c>
      <c r="N236" s="39" t="n">
        <f aca="false">IF($J236=1,ROUND($D236*100,0),0)</f>
        <v>0</v>
      </c>
      <c r="O236" s="40" t="str">
        <f aca="false">IF($J236&lt;&gt;1,"",IF(AND((WeekMon+WEEKDAY($K236,2)-1)&gt;=$K236,MOD((WeekMon+WEEKDAY($K236,2)-1)-$K236,$L236)=0,(WeekMon+WEEKDAY($K236,2)-1)&lt;=$M236),(WeekMon+WEEKDAY($K236,2)-1),""))</f>
        <v/>
      </c>
      <c r="P236" s="39" t="str">
        <f aca="false">IF($O236="","",($O236-WeekMon)*1000+ROW()-11)</f>
        <v/>
      </c>
    </row>
    <row r="237" customFormat="false" ht="15" hidden="false" customHeight="false" outlineLevel="0" collapsed="false">
      <c r="A237" s="33"/>
      <c r="B237" s="34"/>
      <c r="C237" s="33"/>
      <c r="D237" s="35"/>
      <c r="E237" s="34"/>
      <c r="F237" s="36" t="str">
        <f aca="false">IF(IF(ISNUMBER($B237),AND($B237=INT($B237),$B237&gt;=DATE(2000,1,1),$B237&lt;=DATE(2099,12,31)),FALSE()),CHOOSE(WEEKDAY($B237,2),"Monday","Tuesday","Wednesday","Thursday","Friday","Saturday","Sunday"),"")</f>
        <v/>
      </c>
      <c r="G237" s="36" t="str">
        <f aca="false">IF($J237&lt;&gt;1,"",MAX(0,INT((MIN(WinStart+83,$M237)-MAX($K237,$K237+ROUNDUP((WinStart-$K237)/$L237,0)*$L237))/$L237)+1))</f>
        <v/>
      </c>
      <c r="H237" s="37" t="str">
        <f aca="false">IF(AND($A237="",$B237="",$C237="",$D237="",$E237=""),"",IF($I237="","OK","Check details"))</f>
        <v/>
      </c>
      <c r="I237" s="38" t="str">
        <f aca="false">IF(AND($A237="",$B237="",$C237="",$D237="",$E237=""),"",TRIM(IF(TRIM($A237&amp;"")="","Label is missing. ","")&amp;IF($B237="","First visit is missing. ",IF(NOT(ISNUMBER($B237)),"First visit isn't a date (it's text). ",IF($B237&lt;&gt;INT($B237),"First visit has a time; enter a date only. ",IF(OR($B237&lt;DATE(2000,1,1),$B237&gt;DATE(2099,12,31)),"First visit must be from 2000 to 2099. ",""))))&amp;IF($C237="","Repeat every is missing. ",IF(ISNA(MATCH($C237&amp;"",{"Weekly","Every 2 weeks","Every 3 weeks","Every 4 weeks"},0)),"Repeat every must be Weekly or Every 2, 3 or 4 weeks. ",""))&amp;IF($D237="","Visit length is missing. ",IF(NOT(ISNUMBER($D237)),"Visit length must be a number of hours. ",IF($D237&lt;0,"Visit length can't be negative. ",IF($D237=0,"Visit length must be more than 0. ",IF(ABS($D237*100-ROUND($D237*100,0))&gt;0.000001,"Visit length: use up to 2 decimals. ",IF($D237&gt;24,"Visit length: 24 hours or less. ",""))))))&amp;IF($E237="","",IF(NOT(ISNUMBER($E237)),"Last visit isn't a date (it's text). ",IF($E237&lt;&gt;INT($E237),"Last visit has a time; enter a date only. ",IF(OR($E237&lt;DATE(2000,1,1),$E237&gt;DATE(2099,12,31)),"Last visit must be from 2000 to 2099. ",IF(AND(IF(ISNUMBER($B237),AND($B237=INT($B237),$B237&gt;=DATE(2000,1,1),$B237&lt;=DATE(2099,12,31)),FALSE()),$E237&lt;$B237),"Last visit is before the first visit. ","")))))))</f>
        <v/>
      </c>
      <c r="J237" s="39" t="n">
        <f aca="false">IF($H237="OK",1,0)</f>
        <v>0</v>
      </c>
      <c r="K237" s="40" t="n">
        <f aca="false">IF($J237=1,$B237,0)</f>
        <v>0</v>
      </c>
      <c r="L237" s="39" t="n">
        <f aca="false">IF($J237=1,7*MATCH($C237&amp;"",{"Weekly","Every 2 weeks","Every 3 weeks","Every 4 weeks"},0),7)</f>
        <v>7</v>
      </c>
      <c r="M237" s="40" t="n">
        <f aca="false">IF($J237=1,IF($E237="",2958465,$E237),0)</f>
        <v>0</v>
      </c>
      <c r="N237" s="39" t="n">
        <f aca="false">IF($J237=1,ROUND($D237*100,0),0)</f>
        <v>0</v>
      </c>
      <c r="O237" s="40" t="str">
        <f aca="false">IF($J237&lt;&gt;1,"",IF(AND((WeekMon+WEEKDAY($K237,2)-1)&gt;=$K237,MOD((WeekMon+WEEKDAY($K237,2)-1)-$K237,$L237)=0,(WeekMon+WEEKDAY($K237,2)-1)&lt;=$M237),(WeekMon+WEEKDAY($K237,2)-1),""))</f>
        <v/>
      </c>
      <c r="P237" s="39" t="str">
        <f aca="false">IF($O237="","",($O237-WeekMon)*1000+ROW()-11)</f>
        <v/>
      </c>
    </row>
    <row r="238" customFormat="false" ht="15" hidden="false" customHeight="false" outlineLevel="0" collapsed="false">
      <c r="A238" s="33"/>
      <c r="B238" s="34"/>
      <c r="C238" s="33"/>
      <c r="D238" s="35"/>
      <c r="E238" s="34"/>
      <c r="F238" s="36" t="str">
        <f aca="false">IF(IF(ISNUMBER($B238),AND($B238=INT($B238),$B238&gt;=DATE(2000,1,1),$B238&lt;=DATE(2099,12,31)),FALSE()),CHOOSE(WEEKDAY($B238,2),"Monday","Tuesday","Wednesday","Thursday","Friday","Saturday","Sunday"),"")</f>
        <v/>
      </c>
      <c r="G238" s="36" t="str">
        <f aca="false">IF($J238&lt;&gt;1,"",MAX(0,INT((MIN(WinStart+83,$M238)-MAX($K238,$K238+ROUNDUP((WinStart-$K238)/$L238,0)*$L238))/$L238)+1))</f>
        <v/>
      </c>
      <c r="H238" s="37" t="str">
        <f aca="false">IF(AND($A238="",$B238="",$C238="",$D238="",$E238=""),"",IF($I238="","OK","Check details"))</f>
        <v/>
      </c>
      <c r="I238" s="38" t="str">
        <f aca="false">IF(AND($A238="",$B238="",$C238="",$D238="",$E238=""),"",TRIM(IF(TRIM($A238&amp;"")="","Label is missing. ","")&amp;IF($B238="","First visit is missing. ",IF(NOT(ISNUMBER($B238)),"First visit isn't a date (it's text). ",IF($B238&lt;&gt;INT($B238),"First visit has a time; enter a date only. ",IF(OR($B238&lt;DATE(2000,1,1),$B238&gt;DATE(2099,12,31)),"First visit must be from 2000 to 2099. ",""))))&amp;IF($C238="","Repeat every is missing. ",IF(ISNA(MATCH($C238&amp;"",{"Weekly","Every 2 weeks","Every 3 weeks","Every 4 weeks"},0)),"Repeat every must be Weekly or Every 2, 3 or 4 weeks. ",""))&amp;IF($D238="","Visit length is missing. ",IF(NOT(ISNUMBER($D238)),"Visit length must be a number of hours. ",IF($D238&lt;0,"Visit length can't be negative. ",IF($D238=0,"Visit length must be more than 0. ",IF(ABS($D238*100-ROUND($D238*100,0))&gt;0.000001,"Visit length: use up to 2 decimals. ",IF($D238&gt;24,"Visit length: 24 hours or less. ",""))))))&amp;IF($E238="","",IF(NOT(ISNUMBER($E238)),"Last visit isn't a date (it's text). ",IF($E238&lt;&gt;INT($E238),"Last visit has a time; enter a date only. ",IF(OR($E238&lt;DATE(2000,1,1),$E238&gt;DATE(2099,12,31)),"Last visit must be from 2000 to 2099. ",IF(AND(IF(ISNUMBER($B238),AND($B238=INT($B238),$B238&gt;=DATE(2000,1,1),$B238&lt;=DATE(2099,12,31)),FALSE()),$E238&lt;$B238),"Last visit is before the first visit. ","")))))))</f>
        <v/>
      </c>
      <c r="J238" s="39" t="n">
        <f aca="false">IF($H238="OK",1,0)</f>
        <v>0</v>
      </c>
      <c r="K238" s="40" t="n">
        <f aca="false">IF($J238=1,$B238,0)</f>
        <v>0</v>
      </c>
      <c r="L238" s="39" t="n">
        <f aca="false">IF($J238=1,7*MATCH($C238&amp;"",{"Weekly","Every 2 weeks","Every 3 weeks","Every 4 weeks"},0),7)</f>
        <v>7</v>
      </c>
      <c r="M238" s="40" t="n">
        <f aca="false">IF($J238=1,IF($E238="",2958465,$E238),0)</f>
        <v>0</v>
      </c>
      <c r="N238" s="39" t="n">
        <f aca="false">IF($J238=1,ROUND($D238*100,0),0)</f>
        <v>0</v>
      </c>
      <c r="O238" s="40" t="str">
        <f aca="false">IF($J238&lt;&gt;1,"",IF(AND((WeekMon+WEEKDAY($K238,2)-1)&gt;=$K238,MOD((WeekMon+WEEKDAY($K238,2)-1)-$K238,$L238)=0,(WeekMon+WEEKDAY($K238,2)-1)&lt;=$M238),(WeekMon+WEEKDAY($K238,2)-1),""))</f>
        <v/>
      </c>
      <c r="P238" s="39" t="str">
        <f aca="false">IF($O238="","",($O238-WeekMon)*1000+ROW()-11)</f>
        <v/>
      </c>
    </row>
    <row r="239" customFormat="false" ht="15" hidden="false" customHeight="false" outlineLevel="0" collapsed="false">
      <c r="A239" s="33"/>
      <c r="B239" s="34"/>
      <c r="C239" s="33"/>
      <c r="D239" s="35"/>
      <c r="E239" s="34"/>
      <c r="F239" s="36" t="str">
        <f aca="false">IF(IF(ISNUMBER($B239),AND($B239=INT($B239),$B239&gt;=DATE(2000,1,1),$B239&lt;=DATE(2099,12,31)),FALSE()),CHOOSE(WEEKDAY($B239,2),"Monday","Tuesday","Wednesday","Thursday","Friday","Saturday","Sunday"),"")</f>
        <v/>
      </c>
      <c r="G239" s="36" t="str">
        <f aca="false">IF($J239&lt;&gt;1,"",MAX(0,INT((MIN(WinStart+83,$M239)-MAX($K239,$K239+ROUNDUP((WinStart-$K239)/$L239,0)*$L239))/$L239)+1))</f>
        <v/>
      </c>
      <c r="H239" s="37" t="str">
        <f aca="false">IF(AND($A239="",$B239="",$C239="",$D239="",$E239=""),"",IF($I239="","OK","Check details"))</f>
        <v/>
      </c>
      <c r="I239" s="38" t="str">
        <f aca="false">IF(AND($A239="",$B239="",$C239="",$D239="",$E239=""),"",TRIM(IF(TRIM($A239&amp;"")="","Label is missing. ","")&amp;IF($B239="","First visit is missing. ",IF(NOT(ISNUMBER($B239)),"First visit isn't a date (it's text). ",IF($B239&lt;&gt;INT($B239),"First visit has a time; enter a date only. ",IF(OR($B239&lt;DATE(2000,1,1),$B239&gt;DATE(2099,12,31)),"First visit must be from 2000 to 2099. ",""))))&amp;IF($C239="","Repeat every is missing. ",IF(ISNA(MATCH($C239&amp;"",{"Weekly","Every 2 weeks","Every 3 weeks","Every 4 weeks"},0)),"Repeat every must be Weekly or Every 2, 3 or 4 weeks. ",""))&amp;IF($D239="","Visit length is missing. ",IF(NOT(ISNUMBER($D239)),"Visit length must be a number of hours. ",IF($D239&lt;0,"Visit length can't be negative. ",IF($D239=0,"Visit length must be more than 0. ",IF(ABS($D239*100-ROUND($D239*100,0))&gt;0.000001,"Visit length: use up to 2 decimals. ",IF($D239&gt;24,"Visit length: 24 hours or less. ",""))))))&amp;IF($E239="","",IF(NOT(ISNUMBER($E239)),"Last visit isn't a date (it's text). ",IF($E239&lt;&gt;INT($E239),"Last visit has a time; enter a date only. ",IF(OR($E239&lt;DATE(2000,1,1),$E239&gt;DATE(2099,12,31)),"Last visit must be from 2000 to 2099. ",IF(AND(IF(ISNUMBER($B239),AND($B239=INT($B239),$B239&gt;=DATE(2000,1,1),$B239&lt;=DATE(2099,12,31)),FALSE()),$E239&lt;$B239),"Last visit is before the first visit. ","")))))))</f>
        <v/>
      </c>
      <c r="J239" s="39" t="n">
        <f aca="false">IF($H239="OK",1,0)</f>
        <v>0</v>
      </c>
      <c r="K239" s="40" t="n">
        <f aca="false">IF($J239=1,$B239,0)</f>
        <v>0</v>
      </c>
      <c r="L239" s="39" t="n">
        <f aca="false">IF($J239=1,7*MATCH($C239&amp;"",{"Weekly","Every 2 weeks","Every 3 weeks","Every 4 weeks"},0),7)</f>
        <v>7</v>
      </c>
      <c r="M239" s="40" t="n">
        <f aca="false">IF($J239=1,IF($E239="",2958465,$E239),0)</f>
        <v>0</v>
      </c>
      <c r="N239" s="39" t="n">
        <f aca="false">IF($J239=1,ROUND($D239*100,0),0)</f>
        <v>0</v>
      </c>
      <c r="O239" s="40" t="str">
        <f aca="false">IF($J239&lt;&gt;1,"",IF(AND((WeekMon+WEEKDAY($K239,2)-1)&gt;=$K239,MOD((WeekMon+WEEKDAY($K239,2)-1)-$K239,$L239)=0,(WeekMon+WEEKDAY($K239,2)-1)&lt;=$M239),(WeekMon+WEEKDAY($K239,2)-1),""))</f>
        <v/>
      </c>
      <c r="P239" s="39" t="str">
        <f aca="false">IF($O239="","",($O239-WeekMon)*1000+ROW()-11)</f>
        <v/>
      </c>
    </row>
    <row r="240" customFormat="false" ht="15" hidden="false" customHeight="false" outlineLevel="0" collapsed="false">
      <c r="A240" s="33"/>
      <c r="B240" s="34"/>
      <c r="C240" s="33"/>
      <c r="D240" s="35"/>
      <c r="E240" s="34"/>
      <c r="F240" s="36" t="str">
        <f aca="false">IF(IF(ISNUMBER($B240),AND($B240=INT($B240),$B240&gt;=DATE(2000,1,1),$B240&lt;=DATE(2099,12,31)),FALSE()),CHOOSE(WEEKDAY($B240,2),"Monday","Tuesday","Wednesday","Thursday","Friday","Saturday","Sunday"),"")</f>
        <v/>
      </c>
      <c r="G240" s="36" t="str">
        <f aca="false">IF($J240&lt;&gt;1,"",MAX(0,INT((MIN(WinStart+83,$M240)-MAX($K240,$K240+ROUNDUP((WinStart-$K240)/$L240,0)*$L240))/$L240)+1))</f>
        <v/>
      </c>
      <c r="H240" s="37" t="str">
        <f aca="false">IF(AND($A240="",$B240="",$C240="",$D240="",$E240=""),"",IF($I240="","OK","Check details"))</f>
        <v/>
      </c>
      <c r="I240" s="38" t="str">
        <f aca="false">IF(AND($A240="",$B240="",$C240="",$D240="",$E240=""),"",TRIM(IF(TRIM($A240&amp;"")="","Label is missing. ","")&amp;IF($B240="","First visit is missing. ",IF(NOT(ISNUMBER($B240)),"First visit isn't a date (it's text). ",IF($B240&lt;&gt;INT($B240),"First visit has a time; enter a date only. ",IF(OR($B240&lt;DATE(2000,1,1),$B240&gt;DATE(2099,12,31)),"First visit must be from 2000 to 2099. ",""))))&amp;IF($C240="","Repeat every is missing. ",IF(ISNA(MATCH($C240&amp;"",{"Weekly","Every 2 weeks","Every 3 weeks","Every 4 weeks"},0)),"Repeat every must be Weekly or Every 2, 3 or 4 weeks. ",""))&amp;IF($D240="","Visit length is missing. ",IF(NOT(ISNUMBER($D240)),"Visit length must be a number of hours. ",IF($D240&lt;0,"Visit length can't be negative. ",IF($D240=0,"Visit length must be more than 0. ",IF(ABS($D240*100-ROUND($D240*100,0))&gt;0.000001,"Visit length: use up to 2 decimals. ",IF($D240&gt;24,"Visit length: 24 hours or less. ",""))))))&amp;IF($E240="","",IF(NOT(ISNUMBER($E240)),"Last visit isn't a date (it's text). ",IF($E240&lt;&gt;INT($E240),"Last visit has a time; enter a date only. ",IF(OR($E240&lt;DATE(2000,1,1),$E240&gt;DATE(2099,12,31)),"Last visit must be from 2000 to 2099. ",IF(AND(IF(ISNUMBER($B240),AND($B240=INT($B240),$B240&gt;=DATE(2000,1,1),$B240&lt;=DATE(2099,12,31)),FALSE()),$E240&lt;$B240),"Last visit is before the first visit. ","")))))))</f>
        <v/>
      </c>
      <c r="J240" s="39" t="n">
        <f aca="false">IF($H240="OK",1,0)</f>
        <v>0</v>
      </c>
      <c r="K240" s="40" t="n">
        <f aca="false">IF($J240=1,$B240,0)</f>
        <v>0</v>
      </c>
      <c r="L240" s="39" t="n">
        <f aca="false">IF($J240=1,7*MATCH($C240&amp;"",{"Weekly","Every 2 weeks","Every 3 weeks","Every 4 weeks"},0),7)</f>
        <v>7</v>
      </c>
      <c r="M240" s="40" t="n">
        <f aca="false">IF($J240=1,IF($E240="",2958465,$E240),0)</f>
        <v>0</v>
      </c>
      <c r="N240" s="39" t="n">
        <f aca="false">IF($J240=1,ROUND($D240*100,0),0)</f>
        <v>0</v>
      </c>
      <c r="O240" s="40" t="str">
        <f aca="false">IF($J240&lt;&gt;1,"",IF(AND((WeekMon+WEEKDAY($K240,2)-1)&gt;=$K240,MOD((WeekMon+WEEKDAY($K240,2)-1)-$K240,$L240)=0,(WeekMon+WEEKDAY($K240,2)-1)&lt;=$M240),(WeekMon+WEEKDAY($K240,2)-1),""))</f>
        <v/>
      </c>
      <c r="P240" s="39" t="str">
        <f aca="false">IF($O240="","",($O240-WeekMon)*1000+ROW()-11)</f>
        <v/>
      </c>
    </row>
    <row r="241" customFormat="false" ht="15" hidden="false" customHeight="false" outlineLevel="0" collapsed="false">
      <c r="A241" s="33"/>
      <c r="B241" s="34"/>
      <c r="C241" s="33"/>
      <c r="D241" s="35"/>
      <c r="E241" s="34"/>
      <c r="F241" s="36" t="str">
        <f aca="false">IF(IF(ISNUMBER($B241),AND($B241=INT($B241),$B241&gt;=DATE(2000,1,1),$B241&lt;=DATE(2099,12,31)),FALSE()),CHOOSE(WEEKDAY($B241,2),"Monday","Tuesday","Wednesday","Thursday","Friday","Saturday","Sunday"),"")</f>
        <v/>
      </c>
      <c r="G241" s="36" t="str">
        <f aca="false">IF($J241&lt;&gt;1,"",MAX(0,INT((MIN(WinStart+83,$M241)-MAX($K241,$K241+ROUNDUP((WinStart-$K241)/$L241,0)*$L241))/$L241)+1))</f>
        <v/>
      </c>
      <c r="H241" s="37" t="str">
        <f aca="false">IF(AND($A241="",$B241="",$C241="",$D241="",$E241=""),"",IF($I241="","OK","Check details"))</f>
        <v/>
      </c>
      <c r="I241" s="38" t="str">
        <f aca="false">IF(AND($A241="",$B241="",$C241="",$D241="",$E241=""),"",TRIM(IF(TRIM($A241&amp;"")="","Label is missing. ","")&amp;IF($B241="","First visit is missing. ",IF(NOT(ISNUMBER($B241)),"First visit isn't a date (it's text). ",IF($B241&lt;&gt;INT($B241),"First visit has a time; enter a date only. ",IF(OR($B241&lt;DATE(2000,1,1),$B241&gt;DATE(2099,12,31)),"First visit must be from 2000 to 2099. ",""))))&amp;IF($C241="","Repeat every is missing. ",IF(ISNA(MATCH($C241&amp;"",{"Weekly","Every 2 weeks","Every 3 weeks","Every 4 weeks"},0)),"Repeat every must be Weekly or Every 2, 3 or 4 weeks. ",""))&amp;IF($D241="","Visit length is missing. ",IF(NOT(ISNUMBER($D241)),"Visit length must be a number of hours. ",IF($D241&lt;0,"Visit length can't be negative. ",IF($D241=0,"Visit length must be more than 0. ",IF(ABS($D241*100-ROUND($D241*100,0))&gt;0.000001,"Visit length: use up to 2 decimals. ",IF($D241&gt;24,"Visit length: 24 hours or less. ",""))))))&amp;IF($E241="","",IF(NOT(ISNUMBER($E241)),"Last visit isn't a date (it's text). ",IF($E241&lt;&gt;INT($E241),"Last visit has a time; enter a date only. ",IF(OR($E241&lt;DATE(2000,1,1),$E241&gt;DATE(2099,12,31)),"Last visit must be from 2000 to 2099. ",IF(AND(IF(ISNUMBER($B241),AND($B241=INT($B241),$B241&gt;=DATE(2000,1,1),$B241&lt;=DATE(2099,12,31)),FALSE()),$E241&lt;$B241),"Last visit is before the first visit. ","")))))))</f>
        <v/>
      </c>
      <c r="J241" s="39" t="n">
        <f aca="false">IF($H241="OK",1,0)</f>
        <v>0</v>
      </c>
      <c r="K241" s="40" t="n">
        <f aca="false">IF($J241=1,$B241,0)</f>
        <v>0</v>
      </c>
      <c r="L241" s="39" t="n">
        <f aca="false">IF($J241=1,7*MATCH($C241&amp;"",{"Weekly","Every 2 weeks","Every 3 weeks","Every 4 weeks"},0),7)</f>
        <v>7</v>
      </c>
      <c r="M241" s="40" t="n">
        <f aca="false">IF($J241=1,IF($E241="",2958465,$E241),0)</f>
        <v>0</v>
      </c>
      <c r="N241" s="39" t="n">
        <f aca="false">IF($J241=1,ROUND($D241*100,0),0)</f>
        <v>0</v>
      </c>
      <c r="O241" s="40" t="str">
        <f aca="false">IF($J241&lt;&gt;1,"",IF(AND((WeekMon+WEEKDAY($K241,2)-1)&gt;=$K241,MOD((WeekMon+WEEKDAY($K241,2)-1)-$K241,$L241)=0,(WeekMon+WEEKDAY($K241,2)-1)&lt;=$M241),(WeekMon+WEEKDAY($K241,2)-1),""))</f>
        <v/>
      </c>
      <c r="P241" s="39" t="str">
        <f aca="false">IF($O241="","",($O241-WeekMon)*1000+ROW()-11)</f>
        <v/>
      </c>
    </row>
    <row r="242" customFormat="false" ht="15" hidden="false" customHeight="false" outlineLevel="0" collapsed="false">
      <c r="A242" s="33"/>
      <c r="B242" s="34"/>
      <c r="C242" s="33"/>
      <c r="D242" s="35"/>
      <c r="E242" s="34"/>
      <c r="F242" s="36" t="str">
        <f aca="false">IF(IF(ISNUMBER($B242),AND($B242=INT($B242),$B242&gt;=DATE(2000,1,1),$B242&lt;=DATE(2099,12,31)),FALSE()),CHOOSE(WEEKDAY($B242,2),"Monday","Tuesday","Wednesday","Thursday","Friday","Saturday","Sunday"),"")</f>
        <v/>
      </c>
      <c r="G242" s="36" t="str">
        <f aca="false">IF($J242&lt;&gt;1,"",MAX(0,INT((MIN(WinStart+83,$M242)-MAX($K242,$K242+ROUNDUP((WinStart-$K242)/$L242,0)*$L242))/$L242)+1))</f>
        <v/>
      </c>
      <c r="H242" s="37" t="str">
        <f aca="false">IF(AND($A242="",$B242="",$C242="",$D242="",$E242=""),"",IF($I242="","OK","Check details"))</f>
        <v/>
      </c>
      <c r="I242" s="38" t="str">
        <f aca="false">IF(AND($A242="",$B242="",$C242="",$D242="",$E242=""),"",TRIM(IF(TRIM($A242&amp;"")="","Label is missing. ","")&amp;IF($B242="","First visit is missing. ",IF(NOT(ISNUMBER($B242)),"First visit isn't a date (it's text). ",IF($B242&lt;&gt;INT($B242),"First visit has a time; enter a date only. ",IF(OR($B242&lt;DATE(2000,1,1),$B242&gt;DATE(2099,12,31)),"First visit must be from 2000 to 2099. ",""))))&amp;IF($C242="","Repeat every is missing. ",IF(ISNA(MATCH($C242&amp;"",{"Weekly","Every 2 weeks","Every 3 weeks","Every 4 weeks"},0)),"Repeat every must be Weekly or Every 2, 3 or 4 weeks. ",""))&amp;IF($D242="","Visit length is missing. ",IF(NOT(ISNUMBER($D242)),"Visit length must be a number of hours. ",IF($D242&lt;0,"Visit length can't be negative. ",IF($D242=0,"Visit length must be more than 0. ",IF(ABS($D242*100-ROUND($D242*100,0))&gt;0.000001,"Visit length: use up to 2 decimals. ",IF($D242&gt;24,"Visit length: 24 hours or less. ",""))))))&amp;IF($E242="","",IF(NOT(ISNUMBER($E242)),"Last visit isn't a date (it's text). ",IF($E242&lt;&gt;INT($E242),"Last visit has a time; enter a date only. ",IF(OR($E242&lt;DATE(2000,1,1),$E242&gt;DATE(2099,12,31)),"Last visit must be from 2000 to 2099. ",IF(AND(IF(ISNUMBER($B242),AND($B242=INT($B242),$B242&gt;=DATE(2000,1,1),$B242&lt;=DATE(2099,12,31)),FALSE()),$E242&lt;$B242),"Last visit is before the first visit. ","")))))))</f>
        <v/>
      </c>
      <c r="J242" s="39" t="n">
        <f aca="false">IF($H242="OK",1,0)</f>
        <v>0</v>
      </c>
      <c r="K242" s="40" t="n">
        <f aca="false">IF($J242=1,$B242,0)</f>
        <v>0</v>
      </c>
      <c r="L242" s="39" t="n">
        <f aca="false">IF($J242=1,7*MATCH($C242&amp;"",{"Weekly","Every 2 weeks","Every 3 weeks","Every 4 weeks"},0),7)</f>
        <v>7</v>
      </c>
      <c r="M242" s="40" t="n">
        <f aca="false">IF($J242=1,IF($E242="",2958465,$E242),0)</f>
        <v>0</v>
      </c>
      <c r="N242" s="39" t="n">
        <f aca="false">IF($J242=1,ROUND($D242*100,0),0)</f>
        <v>0</v>
      </c>
      <c r="O242" s="40" t="str">
        <f aca="false">IF($J242&lt;&gt;1,"",IF(AND((WeekMon+WEEKDAY($K242,2)-1)&gt;=$K242,MOD((WeekMon+WEEKDAY($K242,2)-1)-$K242,$L242)=0,(WeekMon+WEEKDAY($K242,2)-1)&lt;=$M242),(WeekMon+WEEKDAY($K242,2)-1),""))</f>
        <v/>
      </c>
      <c r="P242" s="39" t="str">
        <f aca="false">IF($O242="","",($O242-WeekMon)*1000+ROW()-11)</f>
        <v/>
      </c>
    </row>
    <row r="243" customFormat="false" ht="15" hidden="false" customHeight="false" outlineLevel="0" collapsed="false">
      <c r="A243" s="33"/>
      <c r="B243" s="34"/>
      <c r="C243" s="33"/>
      <c r="D243" s="35"/>
      <c r="E243" s="34"/>
      <c r="F243" s="36" t="str">
        <f aca="false">IF(IF(ISNUMBER($B243),AND($B243=INT($B243),$B243&gt;=DATE(2000,1,1),$B243&lt;=DATE(2099,12,31)),FALSE()),CHOOSE(WEEKDAY($B243,2),"Monday","Tuesday","Wednesday","Thursday","Friday","Saturday","Sunday"),"")</f>
        <v/>
      </c>
      <c r="G243" s="36" t="str">
        <f aca="false">IF($J243&lt;&gt;1,"",MAX(0,INT((MIN(WinStart+83,$M243)-MAX($K243,$K243+ROUNDUP((WinStart-$K243)/$L243,0)*$L243))/$L243)+1))</f>
        <v/>
      </c>
      <c r="H243" s="37" t="str">
        <f aca="false">IF(AND($A243="",$B243="",$C243="",$D243="",$E243=""),"",IF($I243="","OK","Check details"))</f>
        <v/>
      </c>
      <c r="I243" s="38" t="str">
        <f aca="false">IF(AND($A243="",$B243="",$C243="",$D243="",$E243=""),"",TRIM(IF(TRIM($A243&amp;"")="","Label is missing. ","")&amp;IF($B243="","First visit is missing. ",IF(NOT(ISNUMBER($B243)),"First visit isn't a date (it's text). ",IF($B243&lt;&gt;INT($B243),"First visit has a time; enter a date only. ",IF(OR($B243&lt;DATE(2000,1,1),$B243&gt;DATE(2099,12,31)),"First visit must be from 2000 to 2099. ",""))))&amp;IF($C243="","Repeat every is missing. ",IF(ISNA(MATCH($C243&amp;"",{"Weekly","Every 2 weeks","Every 3 weeks","Every 4 weeks"},0)),"Repeat every must be Weekly or Every 2, 3 or 4 weeks. ",""))&amp;IF($D243="","Visit length is missing. ",IF(NOT(ISNUMBER($D243)),"Visit length must be a number of hours. ",IF($D243&lt;0,"Visit length can't be negative. ",IF($D243=0,"Visit length must be more than 0. ",IF(ABS($D243*100-ROUND($D243*100,0))&gt;0.000001,"Visit length: use up to 2 decimals. ",IF($D243&gt;24,"Visit length: 24 hours or less. ",""))))))&amp;IF($E243="","",IF(NOT(ISNUMBER($E243)),"Last visit isn't a date (it's text). ",IF($E243&lt;&gt;INT($E243),"Last visit has a time; enter a date only. ",IF(OR($E243&lt;DATE(2000,1,1),$E243&gt;DATE(2099,12,31)),"Last visit must be from 2000 to 2099. ",IF(AND(IF(ISNUMBER($B243),AND($B243=INT($B243),$B243&gt;=DATE(2000,1,1),$B243&lt;=DATE(2099,12,31)),FALSE()),$E243&lt;$B243),"Last visit is before the first visit. ","")))))))</f>
        <v/>
      </c>
      <c r="J243" s="39" t="n">
        <f aca="false">IF($H243="OK",1,0)</f>
        <v>0</v>
      </c>
      <c r="K243" s="40" t="n">
        <f aca="false">IF($J243=1,$B243,0)</f>
        <v>0</v>
      </c>
      <c r="L243" s="39" t="n">
        <f aca="false">IF($J243=1,7*MATCH($C243&amp;"",{"Weekly","Every 2 weeks","Every 3 weeks","Every 4 weeks"},0),7)</f>
        <v>7</v>
      </c>
      <c r="M243" s="40" t="n">
        <f aca="false">IF($J243=1,IF($E243="",2958465,$E243),0)</f>
        <v>0</v>
      </c>
      <c r="N243" s="39" t="n">
        <f aca="false">IF($J243=1,ROUND($D243*100,0),0)</f>
        <v>0</v>
      </c>
      <c r="O243" s="40" t="str">
        <f aca="false">IF($J243&lt;&gt;1,"",IF(AND((WeekMon+WEEKDAY($K243,2)-1)&gt;=$K243,MOD((WeekMon+WEEKDAY($K243,2)-1)-$K243,$L243)=0,(WeekMon+WEEKDAY($K243,2)-1)&lt;=$M243),(WeekMon+WEEKDAY($K243,2)-1),""))</f>
        <v/>
      </c>
      <c r="P243" s="39" t="str">
        <f aca="false">IF($O243="","",($O243-WeekMon)*1000+ROW()-11)</f>
        <v/>
      </c>
    </row>
    <row r="244" customFormat="false" ht="15" hidden="false" customHeight="false" outlineLevel="0" collapsed="false">
      <c r="A244" s="33"/>
      <c r="B244" s="34"/>
      <c r="C244" s="33"/>
      <c r="D244" s="35"/>
      <c r="E244" s="34"/>
      <c r="F244" s="36" t="str">
        <f aca="false">IF(IF(ISNUMBER($B244),AND($B244=INT($B244),$B244&gt;=DATE(2000,1,1),$B244&lt;=DATE(2099,12,31)),FALSE()),CHOOSE(WEEKDAY($B244,2),"Monday","Tuesday","Wednesday","Thursday","Friday","Saturday","Sunday"),"")</f>
        <v/>
      </c>
      <c r="G244" s="36" t="str">
        <f aca="false">IF($J244&lt;&gt;1,"",MAX(0,INT((MIN(WinStart+83,$M244)-MAX($K244,$K244+ROUNDUP((WinStart-$K244)/$L244,0)*$L244))/$L244)+1))</f>
        <v/>
      </c>
      <c r="H244" s="37" t="str">
        <f aca="false">IF(AND($A244="",$B244="",$C244="",$D244="",$E244=""),"",IF($I244="","OK","Check details"))</f>
        <v/>
      </c>
      <c r="I244" s="38" t="str">
        <f aca="false">IF(AND($A244="",$B244="",$C244="",$D244="",$E244=""),"",TRIM(IF(TRIM($A244&amp;"")="","Label is missing. ","")&amp;IF($B244="","First visit is missing. ",IF(NOT(ISNUMBER($B244)),"First visit isn't a date (it's text). ",IF($B244&lt;&gt;INT($B244),"First visit has a time; enter a date only. ",IF(OR($B244&lt;DATE(2000,1,1),$B244&gt;DATE(2099,12,31)),"First visit must be from 2000 to 2099. ",""))))&amp;IF($C244="","Repeat every is missing. ",IF(ISNA(MATCH($C244&amp;"",{"Weekly","Every 2 weeks","Every 3 weeks","Every 4 weeks"},0)),"Repeat every must be Weekly or Every 2, 3 or 4 weeks. ",""))&amp;IF($D244="","Visit length is missing. ",IF(NOT(ISNUMBER($D244)),"Visit length must be a number of hours. ",IF($D244&lt;0,"Visit length can't be negative. ",IF($D244=0,"Visit length must be more than 0. ",IF(ABS($D244*100-ROUND($D244*100,0))&gt;0.000001,"Visit length: use up to 2 decimals. ",IF($D244&gt;24,"Visit length: 24 hours or less. ",""))))))&amp;IF($E244="","",IF(NOT(ISNUMBER($E244)),"Last visit isn't a date (it's text). ",IF($E244&lt;&gt;INT($E244),"Last visit has a time; enter a date only. ",IF(OR($E244&lt;DATE(2000,1,1),$E244&gt;DATE(2099,12,31)),"Last visit must be from 2000 to 2099. ",IF(AND(IF(ISNUMBER($B244),AND($B244=INT($B244),$B244&gt;=DATE(2000,1,1),$B244&lt;=DATE(2099,12,31)),FALSE()),$E244&lt;$B244),"Last visit is before the first visit. ","")))))))</f>
        <v/>
      </c>
      <c r="J244" s="39" t="n">
        <f aca="false">IF($H244="OK",1,0)</f>
        <v>0</v>
      </c>
      <c r="K244" s="40" t="n">
        <f aca="false">IF($J244=1,$B244,0)</f>
        <v>0</v>
      </c>
      <c r="L244" s="39" t="n">
        <f aca="false">IF($J244=1,7*MATCH($C244&amp;"",{"Weekly","Every 2 weeks","Every 3 weeks","Every 4 weeks"},0),7)</f>
        <v>7</v>
      </c>
      <c r="M244" s="40" t="n">
        <f aca="false">IF($J244=1,IF($E244="",2958465,$E244),0)</f>
        <v>0</v>
      </c>
      <c r="N244" s="39" t="n">
        <f aca="false">IF($J244=1,ROUND($D244*100,0),0)</f>
        <v>0</v>
      </c>
      <c r="O244" s="40" t="str">
        <f aca="false">IF($J244&lt;&gt;1,"",IF(AND((WeekMon+WEEKDAY($K244,2)-1)&gt;=$K244,MOD((WeekMon+WEEKDAY($K244,2)-1)-$K244,$L244)=0,(WeekMon+WEEKDAY($K244,2)-1)&lt;=$M244),(WeekMon+WEEKDAY($K244,2)-1),""))</f>
        <v/>
      </c>
      <c r="P244" s="39" t="str">
        <f aca="false">IF($O244="","",($O244-WeekMon)*1000+ROW()-11)</f>
        <v/>
      </c>
    </row>
    <row r="245" customFormat="false" ht="15" hidden="false" customHeight="false" outlineLevel="0" collapsed="false">
      <c r="A245" s="33"/>
      <c r="B245" s="34"/>
      <c r="C245" s="33"/>
      <c r="D245" s="35"/>
      <c r="E245" s="34"/>
      <c r="F245" s="36" t="str">
        <f aca="false">IF(IF(ISNUMBER($B245),AND($B245=INT($B245),$B245&gt;=DATE(2000,1,1),$B245&lt;=DATE(2099,12,31)),FALSE()),CHOOSE(WEEKDAY($B245,2),"Monday","Tuesday","Wednesday","Thursday","Friday","Saturday","Sunday"),"")</f>
        <v/>
      </c>
      <c r="G245" s="36" t="str">
        <f aca="false">IF($J245&lt;&gt;1,"",MAX(0,INT((MIN(WinStart+83,$M245)-MAX($K245,$K245+ROUNDUP((WinStart-$K245)/$L245,0)*$L245))/$L245)+1))</f>
        <v/>
      </c>
      <c r="H245" s="37" t="str">
        <f aca="false">IF(AND($A245="",$B245="",$C245="",$D245="",$E245=""),"",IF($I245="","OK","Check details"))</f>
        <v/>
      </c>
      <c r="I245" s="38" t="str">
        <f aca="false">IF(AND($A245="",$B245="",$C245="",$D245="",$E245=""),"",TRIM(IF(TRIM($A245&amp;"")="","Label is missing. ","")&amp;IF($B245="","First visit is missing. ",IF(NOT(ISNUMBER($B245)),"First visit isn't a date (it's text). ",IF($B245&lt;&gt;INT($B245),"First visit has a time; enter a date only. ",IF(OR($B245&lt;DATE(2000,1,1),$B245&gt;DATE(2099,12,31)),"First visit must be from 2000 to 2099. ",""))))&amp;IF($C245="","Repeat every is missing. ",IF(ISNA(MATCH($C245&amp;"",{"Weekly","Every 2 weeks","Every 3 weeks","Every 4 weeks"},0)),"Repeat every must be Weekly or Every 2, 3 or 4 weeks. ",""))&amp;IF($D245="","Visit length is missing. ",IF(NOT(ISNUMBER($D245)),"Visit length must be a number of hours. ",IF($D245&lt;0,"Visit length can't be negative. ",IF($D245=0,"Visit length must be more than 0. ",IF(ABS($D245*100-ROUND($D245*100,0))&gt;0.000001,"Visit length: use up to 2 decimals. ",IF($D245&gt;24,"Visit length: 24 hours or less. ",""))))))&amp;IF($E245="","",IF(NOT(ISNUMBER($E245)),"Last visit isn't a date (it's text). ",IF($E245&lt;&gt;INT($E245),"Last visit has a time; enter a date only. ",IF(OR($E245&lt;DATE(2000,1,1),$E245&gt;DATE(2099,12,31)),"Last visit must be from 2000 to 2099. ",IF(AND(IF(ISNUMBER($B245),AND($B245=INT($B245),$B245&gt;=DATE(2000,1,1),$B245&lt;=DATE(2099,12,31)),FALSE()),$E245&lt;$B245),"Last visit is before the first visit. ","")))))))</f>
        <v/>
      </c>
      <c r="J245" s="39" t="n">
        <f aca="false">IF($H245="OK",1,0)</f>
        <v>0</v>
      </c>
      <c r="K245" s="40" t="n">
        <f aca="false">IF($J245=1,$B245,0)</f>
        <v>0</v>
      </c>
      <c r="L245" s="39" t="n">
        <f aca="false">IF($J245=1,7*MATCH($C245&amp;"",{"Weekly","Every 2 weeks","Every 3 weeks","Every 4 weeks"},0),7)</f>
        <v>7</v>
      </c>
      <c r="M245" s="40" t="n">
        <f aca="false">IF($J245=1,IF($E245="",2958465,$E245),0)</f>
        <v>0</v>
      </c>
      <c r="N245" s="39" t="n">
        <f aca="false">IF($J245=1,ROUND($D245*100,0),0)</f>
        <v>0</v>
      </c>
      <c r="O245" s="40" t="str">
        <f aca="false">IF($J245&lt;&gt;1,"",IF(AND((WeekMon+WEEKDAY($K245,2)-1)&gt;=$K245,MOD((WeekMon+WEEKDAY($K245,2)-1)-$K245,$L245)=0,(WeekMon+WEEKDAY($K245,2)-1)&lt;=$M245),(WeekMon+WEEKDAY($K245,2)-1),""))</f>
        <v/>
      </c>
      <c r="P245" s="39" t="str">
        <f aca="false">IF($O245="","",($O245-WeekMon)*1000+ROW()-11)</f>
        <v/>
      </c>
    </row>
    <row r="246" customFormat="false" ht="15" hidden="false" customHeight="false" outlineLevel="0" collapsed="false">
      <c r="A246" s="33"/>
      <c r="B246" s="34"/>
      <c r="C246" s="33"/>
      <c r="D246" s="35"/>
      <c r="E246" s="34"/>
      <c r="F246" s="36" t="str">
        <f aca="false">IF(IF(ISNUMBER($B246),AND($B246=INT($B246),$B246&gt;=DATE(2000,1,1),$B246&lt;=DATE(2099,12,31)),FALSE()),CHOOSE(WEEKDAY($B246,2),"Monday","Tuesday","Wednesday","Thursday","Friday","Saturday","Sunday"),"")</f>
        <v/>
      </c>
      <c r="G246" s="36" t="str">
        <f aca="false">IF($J246&lt;&gt;1,"",MAX(0,INT((MIN(WinStart+83,$M246)-MAX($K246,$K246+ROUNDUP((WinStart-$K246)/$L246,0)*$L246))/$L246)+1))</f>
        <v/>
      </c>
      <c r="H246" s="37" t="str">
        <f aca="false">IF(AND($A246="",$B246="",$C246="",$D246="",$E246=""),"",IF($I246="","OK","Check details"))</f>
        <v/>
      </c>
      <c r="I246" s="38" t="str">
        <f aca="false">IF(AND($A246="",$B246="",$C246="",$D246="",$E246=""),"",TRIM(IF(TRIM($A246&amp;"")="","Label is missing. ","")&amp;IF($B246="","First visit is missing. ",IF(NOT(ISNUMBER($B246)),"First visit isn't a date (it's text). ",IF($B246&lt;&gt;INT($B246),"First visit has a time; enter a date only. ",IF(OR($B246&lt;DATE(2000,1,1),$B246&gt;DATE(2099,12,31)),"First visit must be from 2000 to 2099. ",""))))&amp;IF($C246="","Repeat every is missing. ",IF(ISNA(MATCH($C246&amp;"",{"Weekly","Every 2 weeks","Every 3 weeks","Every 4 weeks"},0)),"Repeat every must be Weekly or Every 2, 3 or 4 weeks. ",""))&amp;IF($D246="","Visit length is missing. ",IF(NOT(ISNUMBER($D246)),"Visit length must be a number of hours. ",IF($D246&lt;0,"Visit length can't be negative. ",IF($D246=0,"Visit length must be more than 0. ",IF(ABS($D246*100-ROUND($D246*100,0))&gt;0.000001,"Visit length: use up to 2 decimals. ",IF($D246&gt;24,"Visit length: 24 hours or less. ",""))))))&amp;IF($E246="","",IF(NOT(ISNUMBER($E246)),"Last visit isn't a date (it's text). ",IF($E246&lt;&gt;INT($E246),"Last visit has a time; enter a date only. ",IF(OR($E246&lt;DATE(2000,1,1),$E246&gt;DATE(2099,12,31)),"Last visit must be from 2000 to 2099. ",IF(AND(IF(ISNUMBER($B246),AND($B246=INT($B246),$B246&gt;=DATE(2000,1,1),$B246&lt;=DATE(2099,12,31)),FALSE()),$E246&lt;$B246),"Last visit is before the first visit. ","")))))))</f>
        <v/>
      </c>
      <c r="J246" s="39" t="n">
        <f aca="false">IF($H246="OK",1,0)</f>
        <v>0</v>
      </c>
      <c r="K246" s="40" t="n">
        <f aca="false">IF($J246=1,$B246,0)</f>
        <v>0</v>
      </c>
      <c r="L246" s="39" t="n">
        <f aca="false">IF($J246=1,7*MATCH($C246&amp;"",{"Weekly","Every 2 weeks","Every 3 weeks","Every 4 weeks"},0),7)</f>
        <v>7</v>
      </c>
      <c r="M246" s="40" t="n">
        <f aca="false">IF($J246=1,IF($E246="",2958465,$E246),0)</f>
        <v>0</v>
      </c>
      <c r="N246" s="39" t="n">
        <f aca="false">IF($J246=1,ROUND($D246*100,0),0)</f>
        <v>0</v>
      </c>
      <c r="O246" s="40" t="str">
        <f aca="false">IF($J246&lt;&gt;1,"",IF(AND((WeekMon+WEEKDAY($K246,2)-1)&gt;=$K246,MOD((WeekMon+WEEKDAY($K246,2)-1)-$K246,$L246)=0,(WeekMon+WEEKDAY($K246,2)-1)&lt;=$M246),(WeekMon+WEEKDAY($K246,2)-1),""))</f>
        <v/>
      </c>
      <c r="P246" s="39" t="str">
        <f aca="false">IF($O246="","",($O246-WeekMon)*1000+ROW()-11)</f>
        <v/>
      </c>
    </row>
    <row r="247" customFormat="false" ht="15" hidden="false" customHeight="false" outlineLevel="0" collapsed="false">
      <c r="A247" s="33"/>
      <c r="B247" s="34"/>
      <c r="C247" s="33"/>
      <c r="D247" s="35"/>
      <c r="E247" s="34"/>
      <c r="F247" s="36" t="str">
        <f aca="false">IF(IF(ISNUMBER($B247),AND($B247=INT($B247),$B247&gt;=DATE(2000,1,1),$B247&lt;=DATE(2099,12,31)),FALSE()),CHOOSE(WEEKDAY($B247,2),"Monday","Tuesday","Wednesday","Thursday","Friday","Saturday","Sunday"),"")</f>
        <v/>
      </c>
      <c r="G247" s="36" t="str">
        <f aca="false">IF($J247&lt;&gt;1,"",MAX(0,INT((MIN(WinStart+83,$M247)-MAX($K247,$K247+ROUNDUP((WinStart-$K247)/$L247,0)*$L247))/$L247)+1))</f>
        <v/>
      </c>
      <c r="H247" s="37" t="str">
        <f aca="false">IF(AND($A247="",$B247="",$C247="",$D247="",$E247=""),"",IF($I247="","OK","Check details"))</f>
        <v/>
      </c>
      <c r="I247" s="38" t="str">
        <f aca="false">IF(AND($A247="",$B247="",$C247="",$D247="",$E247=""),"",TRIM(IF(TRIM($A247&amp;"")="","Label is missing. ","")&amp;IF($B247="","First visit is missing. ",IF(NOT(ISNUMBER($B247)),"First visit isn't a date (it's text). ",IF($B247&lt;&gt;INT($B247),"First visit has a time; enter a date only. ",IF(OR($B247&lt;DATE(2000,1,1),$B247&gt;DATE(2099,12,31)),"First visit must be from 2000 to 2099. ",""))))&amp;IF($C247="","Repeat every is missing. ",IF(ISNA(MATCH($C247&amp;"",{"Weekly","Every 2 weeks","Every 3 weeks","Every 4 weeks"},0)),"Repeat every must be Weekly or Every 2, 3 or 4 weeks. ",""))&amp;IF($D247="","Visit length is missing. ",IF(NOT(ISNUMBER($D247)),"Visit length must be a number of hours. ",IF($D247&lt;0,"Visit length can't be negative. ",IF($D247=0,"Visit length must be more than 0. ",IF(ABS($D247*100-ROUND($D247*100,0))&gt;0.000001,"Visit length: use up to 2 decimals. ",IF($D247&gt;24,"Visit length: 24 hours or less. ",""))))))&amp;IF($E247="","",IF(NOT(ISNUMBER($E247)),"Last visit isn't a date (it's text). ",IF($E247&lt;&gt;INT($E247),"Last visit has a time; enter a date only. ",IF(OR($E247&lt;DATE(2000,1,1),$E247&gt;DATE(2099,12,31)),"Last visit must be from 2000 to 2099. ",IF(AND(IF(ISNUMBER($B247),AND($B247=INT($B247),$B247&gt;=DATE(2000,1,1),$B247&lt;=DATE(2099,12,31)),FALSE()),$E247&lt;$B247),"Last visit is before the first visit. ","")))))))</f>
        <v/>
      </c>
      <c r="J247" s="39" t="n">
        <f aca="false">IF($H247="OK",1,0)</f>
        <v>0</v>
      </c>
      <c r="K247" s="40" t="n">
        <f aca="false">IF($J247=1,$B247,0)</f>
        <v>0</v>
      </c>
      <c r="L247" s="39" t="n">
        <f aca="false">IF($J247=1,7*MATCH($C247&amp;"",{"Weekly","Every 2 weeks","Every 3 weeks","Every 4 weeks"},0),7)</f>
        <v>7</v>
      </c>
      <c r="M247" s="40" t="n">
        <f aca="false">IF($J247=1,IF($E247="",2958465,$E247),0)</f>
        <v>0</v>
      </c>
      <c r="N247" s="39" t="n">
        <f aca="false">IF($J247=1,ROUND($D247*100,0),0)</f>
        <v>0</v>
      </c>
      <c r="O247" s="40" t="str">
        <f aca="false">IF($J247&lt;&gt;1,"",IF(AND((WeekMon+WEEKDAY($K247,2)-1)&gt;=$K247,MOD((WeekMon+WEEKDAY($K247,2)-1)-$K247,$L247)=0,(WeekMon+WEEKDAY($K247,2)-1)&lt;=$M247),(WeekMon+WEEKDAY($K247,2)-1),""))</f>
        <v/>
      </c>
      <c r="P247" s="39" t="str">
        <f aca="false">IF($O247="","",($O247-WeekMon)*1000+ROW()-11)</f>
        <v/>
      </c>
    </row>
    <row r="248" customFormat="false" ht="15" hidden="false" customHeight="false" outlineLevel="0" collapsed="false">
      <c r="A248" s="33"/>
      <c r="B248" s="34"/>
      <c r="C248" s="33"/>
      <c r="D248" s="35"/>
      <c r="E248" s="34"/>
      <c r="F248" s="36" t="str">
        <f aca="false">IF(IF(ISNUMBER($B248),AND($B248=INT($B248),$B248&gt;=DATE(2000,1,1),$B248&lt;=DATE(2099,12,31)),FALSE()),CHOOSE(WEEKDAY($B248,2),"Monday","Tuesday","Wednesday","Thursday","Friday","Saturday","Sunday"),"")</f>
        <v/>
      </c>
      <c r="G248" s="36" t="str">
        <f aca="false">IF($J248&lt;&gt;1,"",MAX(0,INT((MIN(WinStart+83,$M248)-MAX($K248,$K248+ROUNDUP((WinStart-$K248)/$L248,0)*$L248))/$L248)+1))</f>
        <v/>
      </c>
      <c r="H248" s="37" t="str">
        <f aca="false">IF(AND($A248="",$B248="",$C248="",$D248="",$E248=""),"",IF($I248="","OK","Check details"))</f>
        <v/>
      </c>
      <c r="I248" s="38" t="str">
        <f aca="false">IF(AND($A248="",$B248="",$C248="",$D248="",$E248=""),"",TRIM(IF(TRIM($A248&amp;"")="","Label is missing. ","")&amp;IF($B248="","First visit is missing. ",IF(NOT(ISNUMBER($B248)),"First visit isn't a date (it's text). ",IF($B248&lt;&gt;INT($B248),"First visit has a time; enter a date only. ",IF(OR($B248&lt;DATE(2000,1,1),$B248&gt;DATE(2099,12,31)),"First visit must be from 2000 to 2099. ",""))))&amp;IF($C248="","Repeat every is missing. ",IF(ISNA(MATCH($C248&amp;"",{"Weekly","Every 2 weeks","Every 3 weeks","Every 4 weeks"},0)),"Repeat every must be Weekly or Every 2, 3 or 4 weeks. ",""))&amp;IF($D248="","Visit length is missing. ",IF(NOT(ISNUMBER($D248)),"Visit length must be a number of hours. ",IF($D248&lt;0,"Visit length can't be negative. ",IF($D248=0,"Visit length must be more than 0. ",IF(ABS($D248*100-ROUND($D248*100,0))&gt;0.000001,"Visit length: use up to 2 decimals. ",IF($D248&gt;24,"Visit length: 24 hours or less. ",""))))))&amp;IF($E248="","",IF(NOT(ISNUMBER($E248)),"Last visit isn't a date (it's text). ",IF($E248&lt;&gt;INT($E248),"Last visit has a time; enter a date only. ",IF(OR($E248&lt;DATE(2000,1,1),$E248&gt;DATE(2099,12,31)),"Last visit must be from 2000 to 2099. ",IF(AND(IF(ISNUMBER($B248),AND($B248=INT($B248),$B248&gt;=DATE(2000,1,1),$B248&lt;=DATE(2099,12,31)),FALSE()),$E248&lt;$B248),"Last visit is before the first visit. ","")))))))</f>
        <v/>
      </c>
      <c r="J248" s="39" t="n">
        <f aca="false">IF($H248="OK",1,0)</f>
        <v>0</v>
      </c>
      <c r="K248" s="40" t="n">
        <f aca="false">IF($J248=1,$B248,0)</f>
        <v>0</v>
      </c>
      <c r="L248" s="39" t="n">
        <f aca="false">IF($J248=1,7*MATCH($C248&amp;"",{"Weekly","Every 2 weeks","Every 3 weeks","Every 4 weeks"},0),7)</f>
        <v>7</v>
      </c>
      <c r="M248" s="40" t="n">
        <f aca="false">IF($J248=1,IF($E248="",2958465,$E248),0)</f>
        <v>0</v>
      </c>
      <c r="N248" s="39" t="n">
        <f aca="false">IF($J248=1,ROUND($D248*100,0),0)</f>
        <v>0</v>
      </c>
      <c r="O248" s="40" t="str">
        <f aca="false">IF($J248&lt;&gt;1,"",IF(AND((WeekMon+WEEKDAY($K248,2)-1)&gt;=$K248,MOD((WeekMon+WEEKDAY($K248,2)-1)-$K248,$L248)=0,(WeekMon+WEEKDAY($K248,2)-1)&lt;=$M248),(WeekMon+WEEKDAY($K248,2)-1),""))</f>
        <v/>
      </c>
      <c r="P248" s="39" t="str">
        <f aca="false">IF($O248="","",($O248-WeekMon)*1000+ROW()-11)</f>
        <v/>
      </c>
    </row>
    <row r="249" customFormat="false" ht="15" hidden="false" customHeight="false" outlineLevel="0" collapsed="false">
      <c r="A249" s="33"/>
      <c r="B249" s="34"/>
      <c r="C249" s="33"/>
      <c r="D249" s="35"/>
      <c r="E249" s="34"/>
      <c r="F249" s="36" t="str">
        <f aca="false">IF(IF(ISNUMBER($B249),AND($B249=INT($B249),$B249&gt;=DATE(2000,1,1),$B249&lt;=DATE(2099,12,31)),FALSE()),CHOOSE(WEEKDAY($B249,2),"Monday","Tuesday","Wednesday","Thursday","Friday","Saturday","Sunday"),"")</f>
        <v/>
      </c>
      <c r="G249" s="36" t="str">
        <f aca="false">IF($J249&lt;&gt;1,"",MAX(0,INT((MIN(WinStart+83,$M249)-MAX($K249,$K249+ROUNDUP((WinStart-$K249)/$L249,0)*$L249))/$L249)+1))</f>
        <v/>
      </c>
      <c r="H249" s="37" t="str">
        <f aca="false">IF(AND($A249="",$B249="",$C249="",$D249="",$E249=""),"",IF($I249="","OK","Check details"))</f>
        <v/>
      </c>
      <c r="I249" s="38" t="str">
        <f aca="false">IF(AND($A249="",$B249="",$C249="",$D249="",$E249=""),"",TRIM(IF(TRIM($A249&amp;"")="","Label is missing. ","")&amp;IF($B249="","First visit is missing. ",IF(NOT(ISNUMBER($B249)),"First visit isn't a date (it's text). ",IF($B249&lt;&gt;INT($B249),"First visit has a time; enter a date only. ",IF(OR($B249&lt;DATE(2000,1,1),$B249&gt;DATE(2099,12,31)),"First visit must be from 2000 to 2099. ",""))))&amp;IF($C249="","Repeat every is missing. ",IF(ISNA(MATCH($C249&amp;"",{"Weekly","Every 2 weeks","Every 3 weeks","Every 4 weeks"},0)),"Repeat every must be Weekly or Every 2, 3 or 4 weeks. ",""))&amp;IF($D249="","Visit length is missing. ",IF(NOT(ISNUMBER($D249)),"Visit length must be a number of hours. ",IF($D249&lt;0,"Visit length can't be negative. ",IF($D249=0,"Visit length must be more than 0. ",IF(ABS($D249*100-ROUND($D249*100,0))&gt;0.000001,"Visit length: use up to 2 decimals. ",IF($D249&gt;24,"Visit length: 24 hours or less. ",""))))))&amp;IF($E249="","",IF(NOT(ISNUMBER($E249)),"Last visit isn't a date (it's text). ",IF($E249&lt;&gt;INT($E249),"Last visit has a time; enter a date only. ",IF(OR($E249&lt;DATE(2000,1,1),$E249&gt;DATE(2099,12,31)),"Last visit must be from 2000 to 2099. ",IF(AND(IF(ISNUMBER($B249),AND($B249=INT($B249),$B249&gt;=DATE(2000,1,1),$B249&lt;=DATE(2099,12,31)),FALSE()),$E249&lt;$B249),"Last visit is before the first visit. ","")))))))</f>
        <v/>
      </c>
      <c r="J249" s="39" t="n">
        <f aca="false">IF($H249="OK",1,0)</f>
        <v>0</v>
      </c>
      <c r="K249" s="40" t="n">
        <f aca="false">IF($J249=1,$B249,0)</f>
        <v>0</v>
      </c>
      <c r="L249" s="39" t="n">
        <f aca="false">IF($J249=1,7*MATCH($C249&amp;"",{"Weekly","Every 2 weeks","Every 3 weeks","Every 4 weeks"},0),7)</f>
        <v>7</v>
      </c>
      <c r="M249" s="40" t="n">
        <f aca="false">IF($J249=1,IF($E249="",2958465,$E249),0)</f>
        <v>0</v>
      </c>
      <c r="N249" s="39" t="n">
        <f aca="false">IF($J249=1,ROUND($D249*100,0),0)</f>
        <v>0</v>
      </c>
      <c r="O249" s="40" t="str">
        <f aca="false">IF($J249&lt;&gt;1,"",IF(AND((WeekMon+WEEKDAY($K249,2)-1)&gt;=$K249,MOD((WeekMon+WEEKDAY($K249,2)-1)-$K249,$L249)=0,(WeekMon+WEEKDAY($K249,2)-1)&lt;=$M249),(WeekMon+WEEKDAY($K249,2)-1),""))</f>
        <v/>
      </c>
      <c r="P249" s="39" t="str">
        <f aca="false">IF($O249="","",($O249-WeekMon)*1000+ROW()-11)</f>
        <v/>
      </c>
    </row>
    <row r="250" customFormat="false" ht="15" hidden="false" customHeight="false" outlineLevel="0" collapsed="false">
      <c r="A250" s="33"/>
      <c r="B250" s="34"/>
      <c r="C250" s="33"/>
      <c r="D250" s="35"/>
      <c r="E250" s="34"/>
      <c r="F250" s="36" t="str">
        <f aca="false">IF(IF(ISNUMBER($B250),AND($B250=INT($B250),$B250&gt;=DATE(2000,1,1),$B250&lt;=DATE(2099,12,31)),FALSE()),CHOOSE(WEEKDAY($B250,2),"Monday","Tuesday","Wednesday","Thursday","Friday","Saturday","Sunday"),"")</f>
        <v/>
      </c>
      <c r="G250" s="36" t="str">
        <f aca="false">IF($J250&lt;&gt;1,"",MAX(0,INT((MIN(WinStart+83,$M250)-MAX($K250,$K250+ROUNDUP((WinStart-$K250)/$L250,0)*$L250))/$L250)+1))</f>
        <v/>
      </c>
      <c r="H250" s="37" t="str">
        <f aca="false">IF(AND($A250="",$B250="",$C250="",$D250="",$E250=""),"",IF($I250="","OK","Check details"))</f>
        <v/>
      </c>
      <c r="I250" s="38" t="str">
        <f aca="false">IF(AND($A250="",$B250="",$C250="",$D250="",$E250=""),"",TRIM(IF(TRIM($A250&amp;"")="","Label is missing. ","")&amp;IF($B250="","First visit is missing. ",IF(NOT(ISNUMBER($B250)),"First visit isn't a date (it's text). ",IF($B250&lt;&gt;INT($B250),"First visit has a time; enter a date only. ",IF(OR($B250&lt;DATE(2000,1,1),$B250&gt;DATE(2099,12,31)),"First visit must be from 2000 to 2099. ",""))))&amp;IF($C250="","Repeat every is missing. ",IF(ISNA(MATCH($C250&amp;"",{"Weekly","Every 2 weeks","Every 3 weeks","Every 4 weeks"},0)),"Repeat every must be Weekly or Every 2, 3 or 4 weeks. ",""))&amp;IF($D250="","Visit length is missing. ",IF(NOT(ISNUMBER($D250)),"Visit length must be a number of hours. ",IF($D250&lt;0,"Visit length can't be negative. ",IF($D250=0,"Visit length must be more than 0. ",IF(ABS($D250*100-ROUND($D250*100,0))&gt;0.000001,"Visit length: use up to 2 decimals. ",IF($D250&gt;24,"Visit length: 24 hours or less. ",""))))))&amp;IF($E250="","",IF(NOT(ISNUMBER($E250)),"Last visit isn't a date (it's text). ",IF($E250&lt;&gt;INT($E250),"Last visit has a time; enter a date only. ",IF(OR($E250&lt;DATE(2000,1,1),$E250&gt;DATE(2099,12,31)),"Last visit must be from 2000 to 2099. ",IF(AND(IF(ISNUMBER($B250),AND($B250=INT($B250),$B250&gt;=DATE(2000,1,1),$B250&lt;=DATE(2099,12,31)),FALSE()),$E250&lt;$B250),"Last visit is before the first visit. ","")))))))</f>
        <v/>
      </c>
      <c r="J250" s="39" t="n">
        <f aca="false">IF($H250="OK",1,0)</f>
        <v>0</v>
      </c>
      <c r="K250" s="40" t="n">
        <f aca="false">IF($J250=1,$B250,0)</f>
        <v>0</v>
      </c>
      <c r="L250" s="39" t="n">
        <f aca="false">IF($J250=1,7*MATCH($C250&amp;"",{"Weekly","Every 2 weeks","Every 3 weeks","Every 4 weeks"},0),7)</f>
        <v>7</v>
      </c>
      <c r="M250" s="40" t="n">
        <f aca="false">IF($J250=1,IF($E250="",2958465,$E250),0)</f>
        <v>0</v>
      </c>
      <c r="N250" s="39" t="n">
        <f aca="false">IF($J250=1,ROUND($D250*100,0),0)</f>
        <v>0</v>
      </c>
      <c r="O250" s="40" t="str">
        <f aca="false">IF($J250&lt;&gt;1,"",IF(AND((WeekMon+WEEKDAY($K250,2)-1)&gt;=$K250,MOD((WeekMon+WEEKDAY($K250,2)-1)-$K250,$L250)=0,(WeekMon+WEEKDAY($K250,2)-1)&lt;=$M250),(WeekMon+WEEKDAY($K250,2)-1),""))</f>
        <v/>
      </c>
      <c r="P250" s="39" t="str">
        <f aca="false">IF($O250="","",($O250-WeekMon)*1000+ROW()-11)</f>
        <v/>
      </c>
    </row>
    <row r="251" customFormat="false" ht="15" hidden="false" customHeight="false" outlineLevel="0" collapsed="false">
      <c r="A251" s="33"/>
      <c r="B251" s="34"/>
      <c r="C251" s="33"/>
      <c r="D251" s="35"/>
      <c r="E251" s="34"/>
      <c r="F251" s="36" t="str">
        <f aca="false">IF(IF(ISNUMBER($B251),AND($B251=INT($B251),$B251&gt;=DATE(2000,1,1),$B251&lt;=DATE(2099,12,31)),FALSE()),CHOOSE(WEEKDAY($B251,2),"Monday","Tuesday","Wednesday","Thursday","Friday","Saturday","Sunday"),"")</f>
        <v/>
      </c>
      <c r="G251" s="36" t="str">
        <f aca="false">IF($J251&lt;&gt;1,"",MAX(0,INT((MIN(WinStart+83,$M251)-MAX($K251,$K251+ROUNDUP((WinStart-$K251)/$L251,0)*$L251))/$L251)+1))</f>
        <v/>
      </c>
      <c r="H251" s="37" t="str">
        <f aca="false">IF(AND($A251="",$B251="",$C251="",$D251="",$E251=""),"",IF($I251="","OK","Check details"))</f>
        <v/>
      </c>
      <c r="I251" s="38" t="str">
        <f aca="false">IF(AND($A251="",$B251="",$C251="",$D251="",$E251=""),"",TRIM(IF(TRIM($A251&amp;"")="","Label is missing. ","")&amp;IF($B251="","First visit is missing. ",IF(NOT(ISNUMBER($B251)),"First visit isn't a date (it's text). ",IF($B251&lt;&gt;INT($B251),"First visit has a time; enter a date only. ",IF(OR($B251&lt;DATE(2000,1,1),$B251&gt;DATE(2099,12,31)),"First visit must be from 2000 to 2099. ",""))))&amp;IF($C251="","Repeat every is missing. ",IF(ISNA(MATCH($C251&amp;"",{"Weekly","Every 2 weeks","Every 3 weeks","Every 4 weeks"},0)),"Repeat every must be Weekly or Every 2, 3 or 4 weeks. ",""))&amp;IF($D251="","Visit length is missing. ",IF(NOT(ISNUMBER($D251)),"Visit length must be a number of hours. ",IF($D251&lt;0,"Visit length can't be negative. ",IF($D251=0,"Visit length must be more than 0. ",IF(ABS($D251*100-ROUND($D251*100,0))&gt;0.000001,"Visit length: use up to 2 decimals. ",IF($D251&gt;24,"Visit length: 24 hours or less. ",""))))))&amp;IF($E251="","",IF(NOT(ISNUMBER($E251)),"Last visit isn't a date (it's text). ",IF($E251&lt;&gt;INT($E251),"Last visit has a time; enter a date only. ",IF(OR($E251&lt;DATE(2000,1,1),$E251&gt;DATE(2099,12,31)),"Last visit must be from 2000 to 2099. ",IF(AND(IF(ISNUMBER($B251),AND($B251=INT($B251),$B251&gt;=DATE(2000,1,1),$B251&lt;=DATE(2099,12,31)),FALSE()),$E251&lt;$B251),"Last visit is before the first visit. ","")))))))</f>
        <v/>
      </c>
      <c r="J251" s="39" t="n">
        <f aca="false">IF($H251="OK",1,0)</f>
        <v>0</v>
      </c>
      <c r="K251" s="40" t="n">
        <f aca="false">IF($J251=1,$B251,0)</f>
        <v>0</v>
      </c>
      <c r="L251" s="39" t="n">
        <f aca="false">IF($J251=1,7*MATCH($C251&amp;"",{"Weekly","Every 2 weeks","Every 3 weeks","Every 4 weeks"},0),7)</f>
        <v>7</v>
      </c>
      <c r="M251" s="40" t="n">
        <f aca="false">IF($J251=1,IF($E251="",2958465,$E251),0)</f>
        <v>0</v>
      </c>
      <c r="N251" s="39" t="n">
        <f aca="false">IF($J251=1,ROUND($D251*100,0),0)</f>
        <v>0</v>
      </c>
      <c r="O251" s="40" t="str">
        <f aca="false">IF($J251&lt;&gt;1,"",IF(AND((WeekMon+WEEKDAY($K251,2)-1)&gt;=$K251,MOD((WeekMon+WEEKDAY($K251,2)-1)-$K251,$L251)=0,(WeekMon+WEEKDAY($K251,2)-1)&lt;=$M251),(WeekMon+WEEKDAY($K251,2)-1),""))</f>
        <v/>
      </c>
      <c r="P251" s="39" t="str">
        <f aca="false">IF($O251="","",($O251-WeekMon)*1000+ROW()-11)</f>
        <v/>
      </c>
    </row>
    <row r="252" customFormat="false" ht="15" hidden="false" customHeight="false" outlineLevel="0" collapsed="false">
      <c r="A252" s="33"/>
      <c r="B252" s="34"/>
      <c r="C252" s="33"/>
      <c r="D252" s="35"/>
      <c r="E252" s="34"/>
      <c r="F252" s="36" t="str">
        <f aca="false">IF(IF(ISNUMBER($B252),AND($B252=INT($B252),$B252&gt;=DATE(2000,1,1),$B252&lt;=DATE(2099,12,31)),FALSE()),CHOOSE(WEEKDAY($B252,2),"Monday","Tuesday","Wednesday","Thursday","Friday","Saturday","Sunday"),"")</f>
        <v/>
      </c>
      <c r="G252" s="36" t="str">
        <f aca="false">IF($J252&lt;&gt;1,"",MAX(0,INT((MIN(WinStart+83,$M252)-MAX($K252,$K252+ROUNDUP((WinStart-$K252)/$L252,0)*$L252))/$L252)+1))</f>
        <v/>
      </c>
      <c r="H252" s="37" t="str">
        <f aca="false">IF(AND($A252="",$B252="",$C252="",$D252="",$E252=""),"",IF($I252="","OK","Check details"))</f>
        <v/>
      </c>
      <c r="I252" s="38" t="str">
        <f aca="false">IF(AND($A252="",$B252="",$C252="",$D252="",$E252=""),"",TRIM(IF(TRIM($A252&amp;"")="","Label is missing. ","")&amp;IF($B252="","First visit is missing. ",IF(NOT(ISNUMBER($B252)),"First visit isn't a date (it's text). ",IF($B252&lt;&gt;INT($B252),"First visit has a time; enter a date only. ",IF(OR($B252&lt;DATE(2000,1,1),$B252&gt;DATE(2099,12,31)),"First visit must be from 2000 to 2099. ",""))))&amp;IF($C252="","Repeat every is missing. ",IF(ISNA(MATCH($C252&amp;"",{"Weekly","Every 2 weeks","Every 3 weeks","Every 4 weeks"},0)),"Repeat every must be Weekly or Every 2, 3 or 4 weeks. ",""))&amp;IF($D252="","Visit length is missing. ",IF(NOT(ISNUMBER($D252)),"Visit length must be a number of hours. ",IF($D252&lt;0,"Visit length can't be negative. ",IF($D252=0,"Visit length must be more than 0. ",IF(ABS($D252*100-ROUND($D252*100,0))&gt;0.000001,"Visit length: use up to 2 decimals. ",IF($D252&gt;24,"Visit length: 24 hours or less. ",""))))))&amp;IF($E252="","",IF(NOT(ISNUMBER($E252)),"Last visit isn't a date (it's text). ",IF($E252&lt;&gt;INT($E252),"Last visit has a time; enter a date only. ",IF(OR($E252&lt;DATE(2000,1,1),$E252&gt;DATE(2099,12,31)),"Last visit must be from 2000 to 2099. ",IF(AND(IF(ISNUMBER($B252),AND($B252=INT($B252),$B252&gt;=DATE(2000,1,1),$B252&lt;=DATE(2099,12,31)),FALSE()),$E252&lt;$B252),"Last visit is before the first visit. ","")))))))</f>
        <v/>
      </c>
      <c r="J252" s="39" t="n">
        <f aca="false">IF($H252="OK",1,0)</f>
        <v>0</v>
      </c>
      <c r="K252" s="40" t="n">
        <f aca="false">IF($J252=1,$B252,0)</f>
        <v>0</v>
      </c>
      <c r="L252" s="39" t="n">
        <f aca="false">IF($J252=1,7*MATCH($C252&amp;"",{"Weekly","Every 2 weeks","Every 3 weeks","Every 4 weeks"},0),7)</f>
        <v>7</v>
      </c>
      <c r="M252" s="40" t="n">
        <f aca="false">IF($J252=1,IF($E252="",2958465,$E252),0)</f>
        <v>0</v>
      </c>
      <c r="N252" s="39" t="n">
        <f aca="false">IF($J252=1,ROUND($D252*100,0),0)</f>
        <v>0</v>
      </c>
      <c r="O252" s="40" t="str">
        <f aca="false">IF($J252&lt;&gt;1,"",IF(AND((WeekMon+WEEKDAY($K252,2)-1)&gt;=$K252,MOD((WeekMon+WEEKDAY($K252,2)-1)-$K252,$L252)=0,(WeekMon+WEEKDAY($K252,2)-1)&lt;=$M252),(WeekMon+WEEKDAY($K252,2)-1),""))</f>
        <v/>
      </c>
      <c r="P252" s="39" t="str">
        <f aca="false">IF($O252="","",($O252-WeekMon)*1000+ROW()-11)</f>
        <v/>
      </c>
    </row>
    <row r="253" customFormat="false" ht="15" hidden="false" customHeight="false" outlineLevel="0" collapsed="false">
      <c r="A253" s="33"/>
      <c r="B253" s="34"/>
      <c r="C253" s="33"/>
      <c r="D253" s="35"/>
      <c r="E253" s="34"/>
      <c r="F253" s="36" t="str">
        <f aca="false">IF(IF(ISNUMBER($B253),AND($B253=INT($B253),$B253&gt;=DATE(2000,1,1),$B253&lt;=DATE(2099,12,31)),FALSE()),CHOOSE(WEEKDAY($B253,2),"Monday","Tuesday","Wednesday","Thursday","Friday","Saturday","Sunday"),"")</f>
        <v/>
      </c>
      <c r="G253" s="36" t="str">
        <f aca="false">IF($J253&lt;&gt;1,"",MAX(0,INT((MIN(WinStart+83,$M253)-MAX($K253,$K253+ROUNDUP((WinStart-$K253)/$L253,0)*$L253))/$L253)+1))</f>
        <v/>
      </c>
      <c r="H253" s="37" t="str">
        <f aca="false">IF(AND($A253="",$B253="",$C253="",$D253="",$E253=""),"",IF($I253="","OK","Check details"))</f>
        <v/>
      </c>
      <c r="I253" s="38" t="str">
        <f aca="false">IF(AND($A253="",$B253="",$C253="",$D253="",$E253=""),"",TRIM(IF(TRIM($A253&amp;"")="","Label is missing. ","")&amp;IF($B253="","First visit is missing. ",IF(NOT(ISNUMBER($B253)),"First visit isn't a date (it's text). ",IF($B253&lt;&gt;INT($B253),"First visit has a time; enter a date only. ",IF(OR($B253&lt;DATE(2000,1,1),$B253&gt;DATE(2099,12,31)),"First visit must be from 2000 to 2099. ",""))))&amp;IF($C253="","Repeat every is missing. ",IF(ISNA(MATCH($C253&amp;"",{"Weekly","Every 2 weeks","Every 3 weeks","Every 4 weeks"},0)),"Repeat every must be Weekly or Every 2, 3 or 4 weeks. ",""))&amp;IF($D253="","Visit length is missing. ",IF(NOT(ISNUMBER($D253)),"Visit length must be a number of hours. ",IF($D253&lt;0,"Visit length can't be negative. ",IF($D253=0,"Visit length must be more than 0. ",IF(ABS($D253*100-ROUND($D253*100,0))&gt;0.000001,"Visit length: use up to 2 decimals. ",IF($D253&gt;24,"Visit length: 24 hours or less. ",""))))))&amp;IF($E253="","",IF(NOT(ISNUMBER($E253)),"Last visit isn't a date (it's text). ",IF($E253&lt;&gt;INT($E253),"Last visit has a time; enter a date only. ",IF(OR($E253&lt;DATE(2000,1,1),$E253&gt;DATE(2099,12,31)),"Last visit must be from 2000 to 2099. ",IF(AND(IF(ISNUMBER($B253),AND($B253=INT($B253),$B253&gt;=DATE(2000,1,1),$B253&lt;=DATE(2099,12,31)),FALSE()),$E253&lt;$B253),"Last visit is before the first visit. ","")))))))</f>
        <v/>
      </c>
      <c r="J253" s="39" t="n">
        <f aca="false">IF($H253="OK",1,0)</f>
        <v>0</v>
      </c>
      <c r="K253" s="40" t="n">
        <f aca="false">IF($J253=1,$B253,0)</f>
        <v>0</v>
      </c>
      <c r="L253" s="39" t="n">
        <f aca="false">IF($J253=1,7*MATCH($C253&amp;"",{"Weekly","Every 2 weeks","Every 3 weeks","Every 4 weeks"},0),7)</f>
        <v>7</v>
      </c>
      <c r="M253" s="40" t="n">
        <f aca="false">IF($J253=1,IF($E253="",2958465,$E253),0)</f>
        <v>0</v>
      </c>
      <c r="N253" s="39" t="n">
        <f aca="false">IF($J253=1,ROUND($D253*100,0),0)</f>
        <v>0</v>
      </c>
      <c r="O253" s="40" t="str">
        <f aca="false">IF($J253&lt;&gt;1,"",IF(AND((WeekMon+WEEKDAY($K253,2)-1)&gt;=$K253,MOD((WeekMon+WEEKDAY($K253,2)-1)-$K253,$L253)=0,(WeekMon+WEEKDAY($K253,2)-1)&lt;=$M253),(WeekMon+WEEKDAY($K253,2)-1),""))</f>
        <v/>
      </c>
      <c r="P253" s="39" t="str">
        <f aca="false">IF($O253="","",($O253-WeekMon)*1000+ROW()-11)</f>
        <v/>
      </c>
    </row>
    <row r="254" customFormat="false" ht="15" hidden="false" customHeight="false" outlineLevel="0" collapsed="false">
      <c r="A254" s="33"/>
      <c r="B254" s="34"/>
      <c r="C254" s="33"/>
      <c r="D254" s="35"/>
      <c r="E254" s="34"/>
      <c r="F254" s="36" t="str">
        <f aca="false">IF(IF(ISNUMBER($B254),AND($B254=INT($B254),$B254&gt;=DATE(2000,1,1),$B254&lt;=DATE(2099,12,31)),FALSE()),CHOOSE(WEEKDAY($B254,2),"Monday","Tuesday","Wednesday","Thursday","Friday","Saturday","Sunday"),"")</f>
        <v/>
      </c>
      <c r="G254" s="36" t="str">
        <f aca="false">IF($J254&lt;&gt;1,"",MAX(0,INT((MIN(WinStart+83,$M254)-MAX($K254,$K254+ROUNDUP((WinStart-$K254)/$L254,0)*$L254))/$L254)+1))</f>
        <v/>
      </c>
      <c r="H254" s="37" t="str">
        <f aca="false">IF(AND($A254="",$B254="",$C254="",$D254="",$E254=""),"",IF($I254="","OK","Check details"))</f>
        <v/>
      </c>
      <c r="I254" s="38" t="str">
        <f aca="false">IF(AND($A254="",$B254="",$C254="",$D254="",$E254=""),"",TRIM(IF(TRIM($A254&amp;"")="","Label is missing. ","")&amp;IF($B254="","First visit is missing. ",IF(NOT(ISNUMBER($B254)),"First visit isn't a date (it's text). ",IF($B254&lt;&gt;INT($B254),"First visit has a time; enter a date only. ",IF(OR($B254&lt;DATE(2000,1,1),$B254&gt;DATE(2099,12,31)),"First visit must be from 2000 to 2099. ",""))))&amp;IF($C254="","Repeat every is missing. ",IF(ISNA(MATCH($C254&amp;"",{"Weekly","Every 2 weeks","Every 3 weeks","Every 4 weeks"},0)),"Repeat every must be Weekly or Every 2, 3 or 4 weeks. ",""))&amp;IF($D254="","Visit length is missing. ",IF(NOT(ISNUMBER($D254)),"Visit length must be a number of hours. ",IF($D254&lt;0,"Visit length can't be negative. ",IF($D254=0,"Visit length must be more than 0. ",IF(ABS($D254*100-ROUND($D254*100,0))&gt;0.000001,"Visit length: use up to 2 decimals. ",IF($D254&gt;24,"Visit length: 24 hours or less. ",""))))))&amp;IF($E254="","",IF(NOT(ISNUMBER($E254)),"Last visit isn't a date (it's text). ",IF($E254&lt;&gt;INT($E254),"Last visit has a time; enter a date only. ",IF(OR($E254&lt;DATE(2000,1,1),$E254&gt;DATE(2099,12,31)),"Last visit must be from 2000 to 2099. ",IF(AND(IF(ISNUMBER($B254),AND($B254=INT($B254),$B254&gt;=DATE(2000,1,1),$B254&lt;=DATE(2099,12,31)),FALSE()),$E254&lt;$B254),"Last visit is before the first visit. ","")))))))</f>
        <v/>
      </c>
      <c r="J254" s="39" t="n">
        <f aca="false">IF($H254="OK",1,0)</f>
        <v>0</v>
      </c>
      <c r="K254" s="40" t="n">
        <f aca="false">IF($J254=1,$B254,0)</f>
        <v>0</v>
      </c>
      <c r="L254" s="39" t="n">
        <f aca="false">IF($J254=1,7*MATCH($C254&amp;"",{"Weekly","Every 2 weeks","Every 3 weeks","Every 4 weeks"},0),7)</f>
        <v>7</v>
      </c>
      <c r="M254" s="40" t="n">
        <f aca="false">IF($J254=1,IF($E254="",2958465,$E254),0)</f>
        <v>0</v>
      </c>
      <c r="N254" s="39" t="n">
        <f aca="false">IF($J254=1,ROUND($D254*100,0),0)</f>
        <v>0</v>
      </c>
      <c r="O254" s="40" t="str">
        <f aca="false">IF($J254&lt;&gt;1,"",IF(AND((WeekMon+WEEKDAY($K254,2)-1)&gt;=$K254,MOD((WeekMon+WEEKDAY($K254,2)-1)-$K254,$L254)=0,(WeekMon+WEEKDAY($K254,2)-1)&lt;=$M254),(WeekMon+WEEKDAY($K254,2)-1),""))</f>
        <v/>
      </c>
      <c r="P254" s="39" t="str">
        <f aca="false">IF($O254="","",($O254-WeekMon)*1000+ROW()-11)</f>
        <v/>
      </c>
    </row>
    <row r="255" customFormat="false" ht="15" hidden="false" customHeight="false" outlineLevel="0" collapsed="false">
      <c r="A255" s="33"/>
      <c r="B255" s="34"/>
      <c r="C255" s="33"/>
      <c r="D255" s="35"/>
      <c r="E255" s="34"/>
      <c r="F255" s="36" t="str">
        <f aca="false">IF(IF(ISNUMBER($B255),AND($B255=INT($B255),$B255&gt;=DATE(2000,1,1),$B255&lt;=DATE(2099,12,31)),FALSE()),CHOOSE(WEEKDAY($B255,2),"Monday","Tuesday","Wednesday","Thursday","Friday","Saturday","Sunday"),"")</f>
        <v/>
      </c>
      <c r="G255" s="36" t="str">
        <f aca="false">IF($J255&lt;&gt;1,"",MAX(0,INT((MIN(WinStart+83,$M255)-MAX($K255,$K255+ROUNDUP((WinStart-$K255)/$L255,0)*$L255))/$L255)+1))</f>
        <v/>
      </c>
      <c r="H255" s="37" t="str">
        <f aca="false">IF(AND($A255="",$B255="",$C255="",$D255="",$E255=""),"",IF($I255="","OK","Check details"))</f>
        <v/>
      </c>
      <c r="I255" s="38" t="str">
        <f aca="false">IF(AND($A255="",$B255="",$C255="",$D255="",$E255=""),"",TRIM(IF(TRIM($A255&amp;"")="","Label is missing. ","")&amp;IF($B255="","First visit is missing. ",IF(NOT(ISNUMBER($B255)),"First visit isn't a date (it's text). ",IF($B255&lt;&gt;INT($B255),"First visit has a time; enter a date only. ",IF(OR($B255&lt;DATE(2000,1,1),$B255&gt;DATE(2099,12,31)),"First visit must be from 2000 to 2099. ",""))))&amp;IF($C255="","Repeat every is missing. ",IF(ISNA(MATCH($C255&amp;"",{"Weekly","Every 2 weeks","Every 3 weeks","Every 4 weeks"},0)),"Repeat every must be Weekly or Every 2, 3 or 4 weeks. ",""))&amp;IF($D255="","Visit length is missing. ",IF(NOT(ISNUMBER($D255)),"Visit length must be a number of hours. ",IF($D255&lt;0,"Visit length can't be negative. ",IF($D255=0,"Visit length must be more than 0. ",IF(ABS($D255*100-ROUND($D255*100,0))&gt;0.000001,"Visit length: use up to 2 decimals. ",IF($D255&gt;24,"Visit length: 24 hours or less. ",""))))))&amp;IF($E255="","",IF(NOT(ISNUMBER($E255)),"Last visit isn't a date (it's text). ",IF($E255&lt;&gt;INT($E255),"Last visit has a time; enter a date only. ",IF(OR($E255&lt;DATE(2000,1,1),$E255&gt;DATE(2099,12,31)),"Last visit must be from 2000 to 2099. ",IF(AND(IF(ISNUMBER($B255),AND($B255=INT($B255),$B255&gt;=DATE(2000,1,1),$B255&lt;=DATE(2099,12,31)),FALSE()),$E255&lt;$B255),"Last visit is before the first visit. ","")))))))</f>
        <v/>
      </c>
      <c r="J255" s="39" t="n">
        <f aca="false">IF($H255="OK",1,0)</f>
        <v>0</v>
      </c>
      <c r="K255" s="40" t="n">
        <f aca="false">IF($J255=1,$B255,0)</f>
        <v>0</v>
      </c>
      <c r="L255" s="39" t="n">
        <f aca="false">IF($J255=1,7*MATCH($C255&amp;"",{"Weekly","Every 2 weeks","Every 3 weeks","Every 4 weeks"},0),7)</f>
        <v>7</v>
      </c>
      <c r="M255" s="40" t="n">
        <f aca="false">IF($J255=1,IF($E255="",2958465,$E255),0)</f>
        <v>0</v>
      </c>
      <c r="N255" s="39" t="n">
        <f aca="false">IF($J255=1,ROUND($D255*100,0),0)</f>
        <v>0</v>
      </c>
      <c r="O255" s="40" t="str">
        <f aca="false">IF($J255&lt;&gt;1,"",IF(AND((WeekMon+WEEKDAY($K255,2)-1)&gt;=$K255,MOD((WeekMon+WEEKDAY($K255,2)-1)-$K255,$L255)=0,(WeekMon+WEEKDAY($K255,2)-1)&lt;=$M255),(WeekMon+WEEKDAY($K255,2)-1),""))</f>
        <v/>
      </c>
      <c r="P255" s="39" t="str">
        <f aca="false">IF($O255="","",($O255-WeekMon)*1000+ROW()-11)</f>
        <v/>
      </c>
    </row>
    <row r="256" customFormat="false" ht="15" hidden="false" customHeight="false" outlineLevel="0" collapsed="false">
      <c r="A256" s="33"/>
      <c r="B256" s="34"/>
      <c r="C256" s="33"/>
      <c r="D256" s="35"/>
      <c r="E256" s="34"/>
      <c r="F256" s="36" t="str">
        <f aca="false">IF(IF(ISNUMBER($B256),AND($B256=INT($B256),$B256&gt;=DATE(2000,1,1),$B256&lt;=DATE(2099,12,31)),FALSE()),CHOOSE(WEEKDAY($B256,2),"Monday","Tuesday","Wednesday","Thursday","Friday","Saturday","Sunday"),"")</f>
        <v/>
      </c>
      <c r="G256" s="36" t="str">
        <f aca="false">IF($J256&lt;&gt;1,"",MAX(0,INT((MIN(WinStart+83,$M256)-MAX($K256,$K256+ROUNDUP((WinStart-$K256)/$L256,0)*$L256))/$L256)+1))</f>
        <v/>
      </c>
      <c r="H256" s="37" t="str">
        <f aca="false">IF(AND($A256="",$B256="",$C256="",$D256="",$E256=""),"",IF($I256="","OK","Check details"))</f>
        <v/>
      </c>
      <c r="I256" s="38" t="str">
        <f aca="false">IF(AND($A256="",$B256="",$C256="",$D256="",$E256=""),"",TRIM(IF(TRIM($A256&amp;"")="","Label is missing. ","")&amp;IF($B256="","First visit is missing. ",IF(NOT(ISNUMBER($B256)),"First visit isn't a date (it's text). ",IF($B256&lt;&gt;INT($B256),"First visit has a time; enter a date only. ",IF(OR($B256&lt;DATE(2000,1,1),$B256&gt;DATE(2099,12,31)),"First visit must be from 2000 to 2099. ",""))))&amp;IF($C256="","Repeat every is missing. ",IF(ISNA(MATCH($C256&amp;"",{"Weekly","Every 2 weeks","Every 3 weeks","Every 4 weeks"},0)),"Repeat every must be Weekly or Every 2, 3 or 4 weeks. ",""))&amp;IF($D256="","Visit length is missing. ",IF(NOT(ISNUMBER($D256)),"Visit length must be a number of hours. ",IF($D256&lt;0,"Visit length can't be negative. ",IF($D256=0,"Visit length must be more than 0. ",IF(ABS($D256*100-ROUND($D256*100,0))&gt;0.000001,"Visit length: use up to 2 decimals. ",IF($D256&gt;24,"Visit length: 24 hours or less. ",""))))))&amp;IF($E256="","",IF(NOT(ISNUMBER($E256)),"Last visit isn't a date (it's text). ",IF($E256&lt;&gt;INT($E256),"Last visit has a time; enter a date only. ",IF(OR($E256&lt;DATE(2000,1,1),$E256&gt;DATE(2099,12,31)),"Last visit must be from 2000 to 2099. ",IF(AND(IF(ISNUMBER($B256),AND($B256=INT($B256),$B256&gt;=DATE(2000,1,1),$B256&lt;=DATE(2099,12,31)),FALSE()),$E256&lt;$B256),"Last visit is before the first visit. ","")))))))</f>
        <v/>
      </c>
      <c r="J256" s="39" t="n">
        <f aca="false">IF($H256="OK",1,0)</f>
        <v>0</v>
      </c>
      <c r="K256" s="40" t="n">
        <f aca="false">IF($J256=1,$B256,0)</f>
        <v>0</v>
      </c>
      <c r="L256" s="39" t="n">
        <f aca="false">IF($J256=1,7*MATCH($C256&amp;"",{"Weekly","Every 2 weeks","Every 3 weeks","Every 4 weeks"},0),7)</f>
        <v>7</v>
      </c>
      <c r="M256" s="40" t="n">
        <f aca="false">IF($J256=1,IF($E256="",2958465,$E256),0)</f>
        <v>0</v>
      </c>
      <c r="N256" s="39" t="n">
        <f aca="false">IF($J256=1,ROUND($D256*100,0),0)</f>
        <v>0</v>
      </c>
      <c r="O256" s="40" t="str">
        <f aca="false">IF($J256&lt;&gt;1,"",IF(AND((WeekMon+WEEKDAY($K256,2)-1)&gt;=$K256,MOD((WeekMon+WEEKDAY($K256,2)-1)-$K256,$L256)=0,(WeekMon+WEEKDAY($K256,2)-1)&lt;=$M256),(WeekMon+WEEKDAY($K256,2)-1),""))</f>
        <v/>
      </c>
      <c r="P256" s="39" t="str">
        <f aca="false">IF($O256="","",($O256-WeekMon)*1000+ROW()-11)</f>
        <v/>
      </c>
    </row>
    <row r="257" customFormat="false" ht="15" hidden="false" customHeight="false" outlineLevel="0" collapsed="false">
      <c r="A257" s="33"/>
      <c r="B257" s="34"/>
      <c r="C257" s="33"/>
      <c r="D257" s="35"/>
      <c r="E257" s="34"/>
      <c r="F257" s="36" t="str">
        <f aca="false">IF(IF(ISNUMBER($B257),AND($B257=INT($B257),$B257&gt;=DATE(2000,1,1),$B257&lt;=DATE(2099,12,31)),FALSE()),CHOOSE(WEEKDAY($B257,2),"Monday","Tuesday","Wednesday","Thursday","Friday","Saturday","Sunday"),"")</f>
        <v/>
      </c>
      <c r="G257" s="36" t="str">
        <f aca="false">IF($J257&lt;&gt;1,"",MAX(0,INT((MIN(WinStart+83,$M257)-MAX($K257,$K257+ROUNDUP((WinStart-$K257)/$L257,0)*$L257))/$L257)+1))</f>
        <v/>
      </c>
      <c r="H257" s="37" t="str">
        <f aca="false">IF(AND($A257="",$B257="",$C257="",$D257="",$E257=""),"",IF($I257="","OK","Check details"))</f>
        <v/>
      </c>
      <c r="I257" s="38" t="str">
        <f aca="false">IF(AND($A257="",$B257="",$C257="",$D257="",$E257=""),"",TRIM(IF(TRIM($A257&amp;"")="","Label is missing. ","")&amp;IF($B257="","First visit is missing. ",IF(NOT(ISNUMBER($B257)),"First visit isn't a date (it's text). ",IF($B257&lt;&gt;INT($B257),"First visit has a time; enter a date only. ",IF(OR($B257&lt;DATE(2000,1,1),$B257&gt;DATE(2099,12,31)),"First visit must be from 2000 to 2099. ",""))))&amp;IF($C257="","Repeat every is missing. ",IF(ISNA(MATCH($C257&amp;"",{"Weekly","Every 2 weeks","Every 3 weeks","Every 4 weeks"},0)),"Repeat every must be Weekly or Every 2, 3 or 4 weeks. ",""))&amp;IF($D257="","Visit length is missing. ",IF(NOT(ISNUMBER($D257)),"Visit length must be a number of hours. ",IF($D257&lt;0,"Visit length can't be negative. ",IF($D257=0,"Visit length must be more than 0. ",IF(ABS($D257*100-ROUND($D257*100,0))&gt;0.000001,"Visit length: use up to 2 decimals. ",IF($D257&gt;24,"Visit length: 24 hours or less. ",""))))))&amp;IF($E257="","",IF(NOT(ISNUMBER($E257)),"Last visit isn't a date (it's text). ",IF($E257&lt;&gt;INT($E257),"Last visit has a time; enter a date only. ",IF(OR($E257&lt;DATE(2000,1,1),$E257&gt;DATE(2099,12,31)),"Last visit must be from 2000 to 2099. ",IF(AND(IF(ISNUMBER($B257),AND($B257=INT($B257),$B257&gt;=DATE(2000,1,1),$B257&lt;=DATE(2099,12,31)),FALSE()),$E257&lt;$B257),"Last visit is before the first visit. ","")))))))</f>
        <v/>
      </c>
      <c r="J257" s="39" t="n">
        <f aca="false">IF($H257="OK",1,0)</f>
        <v>0</v>
      </c>
      <c r="K257" s="40" t="n">
        <f aca="false">IF($J257=1,$B257,0)</f>
        <v>0</v>
      </c>
      <c r="L257" s="39" t="n">
        <f aca="false">IF($J257=1,7*MATCH($C257&amp;"",{"Weekly","Every 2 weeks","Every 3 weeks","Every 4 weeks"},0),7)</f>
        <v>7</v>
      </c>
      <c r="M257" s="40" t="n">
        <f aca="false">IF($J257=1,IF($E257="",2958465,$E257),0)</f>
        <v>0</v>
      </c>
      <c r="N257" s="39" t="n">
        <f aca="false">IF($J257=1,ROUND($D257*100,0),0)</f>
        <v>0</v>
      </c>
      <c r="O257" s="40" t="str">
        <f aca="false">IF($J257&lt;&gt;1,"",IF(AND((WeekMon+WEEKDAY($K257,2)-1)&gt;=$K257,MOD((WeekMon+WEEKDAY($K257,2)-1)-$K257,$L257)=0,(WeekMon+WEEKDAY($K257,2)-1)&lt;=$M257),(WeekMon+WEEKDAY($K257,2)-1),""))</f>
        <v/>
      </c>
      <c r="P257" s="39" t="str">
        <f aca="false">IF($O257="","",($O257-WeekMon)*1000+ROW()-11)</f>
        <v/>
      </c>
    </row>
    <row r="258" customFormat="false" ht="15" hidden="false" customHeight="false" outlineLevel="0" collapsed="false">
      <c r="A258" s="33"/>
      <c r="B258" s="34"/>
      <c r="C258" s="33"/>
      <c r="D258" s="35"/>
      <c r="E258" s="34"/>
      <c r="F258" s="36" t="str">
        <f aca="false">IF(IF(ISNUMBER($B258),AND($B258=INT($B258),$B258&gt;=DATE(2000,1,1),$B258&lt;=DATE(2099,12,31)),FALSE()),CHOOSE(WEEKDAY($B258,2),"Monday","Tuesday","Wednesday","Thursday","Friday","Saturday","Sunday"),"")</f>
        <v/>
      </c>
      <c r="G258" s="36" t="str">
        <f aca="false">IF($J258&lt;&gt;1,"",MAX(0,INT((MIN(WinStart+83,$M258)-MAX($K258,$K258+ROUNDUP((WinStart-$K258)/$L258,0)*$L258))/$L258)+1))</f>
        <v/>
      </c>
      <c r="H258" s="37" t="str">
        <f aca="false">IF(AND($A258="",$B258="",$C258="",$D258="",$E258=""),"",IF($I258="","OK","Check details"))</f>
        <v/>
      </c>
      <c r="I258" s="38" t="str">
        <f aca="false">IF(AND($A258="",$B258="",$C258="",$D258="",$E258=""),"",TRIM(IF(TRIM($A258&amp;"")="","Label is missing. ","")&amp;IF($B258="","First visit is missing. ",IF(NOT(ISNUMBER($B258)),"First visit isn't a date (it's text). ",IF($B258&lt;&gt;INT($B258),"First visit has a time; enter a date only. ",IF(OR($B258&lt;DATE(2000,1,1),$B258&gt;DATE(2099,12,31)),"First visit must be from 2000 to 2099. ",""))))&amp;IF($C258="","Repeat every is missing. ",IF(ISNA(MATCH($C258&amp;"",{"Weekly","Every 2 weeks","Every 3 weeks","Every 4 weeks"},0)),"Repeat every must be Weekly or Every 2, 3 or 4 weeks. ",""))&amp;IF($D258="","Visit length is missing. ",IF(NOT(ISNUMBER($D258)),"Visit length must be a number of hours. ",IF($D258&lt;0,"Visit length can't be negative. ",IF($D258=0,"Visit length must be more than 0. ",IF(ABS($D258*100-ROUND($D258*100,0))&gt;0.000001,"Visit length: use up to 2 decimals. ",IF($D258&gt;24,"Visit length: 24 hours or less. ",""))))))&amp;IF($E258="","",IF(NOT(ISNUMBER($E258)),"Last visit isn't a date (it's text). ",IF($E258&lt;&gt;INT($E258),"Last visit has a time; enter a date only. ",IF(OR($E258&lt;DATE(2000,1,1),$E258&gt;DATE(2099,12,31)),"Last visit must be from 2000 to 2099. ",IF(AND(IF(ISNUMBER($B258),AND($B258=INT($B258),$B258&gt;=DATE(2000,1,1),$B258&lt;=DATE(2099,12,31)),FALSE()),$E258&lt;$B258),"Last visit is before the first visit. ","")))))))</f>
        <v/>
      </c>
      <c r="J258" s="39" t="n">
        <f aca="false">IF($H258="OK",1,0)</f>
        <v>0</v>
      </c>
      <c r="K258" s="40" t="n">
        <f aca="false">IF($J258=1,$B258,0)</f>
        <v>0</v>
      </c>
      <c r="L258" s="39" t="n">
        <f aca="false">IF($J258=1,7*MATCH($C258&amp;"",{"Weekly","Every 2 weeks","Every 3 weeks","Every 4 weeks"},0),7)</f>
        <v>7</v>
      </c>
      <c r="M258" s="40" t="n">
        <f aca="false">IF($J258=1,IF($E258="",2958465,$E258),0)</f>
        <v>0</v>
      </c>
      <c r="N258" s="39" t="n">
        <f aca="false">IF($J258=1,ROUND($D258*100,0),0)</f>
        <v>0</v>
      </c>
      <c r="O258" s="40" t="str">
        <f aca="false">IF($J258&lt;&gt;1,"",IF(AND((WeekMon+WEEKDAY($K258,2)-1)&gt;=$K258,MOD((WeekMon+WEEKDAY($K258,2)-1)-$K258,$L258)=0,(WeekMon+WEEKDAY($K258,2)-1)&lt;=$M258),(WeekMon+WEEKDAY($K258,2)-1),""))</f>
        <v/>
      </c>
      <c r="P258" s="39" t="str">
        <f aca="false">IF($O258="","",($O258-WeekMon)*1000+ROW()-11)</f>
        <v/>
      </c>
    </row>
    <row r="259" customFormat="false" ht="15" hidden="false" customHeight="false" outlineLevel="0" collapsed="false">
      <c r="A259" s="33"/>
      <c r="B259" s="34"/>
      <c r="C259" s="33"/>
      <c r="D259" s="35"/>
      <c r="E259" s="34"/>
      <c r="F259" s="36" t="str">
        <f aca="false">IF(IF(ISNUMBER($B259),AND($B259=INT($B259),$B259&gt;=DATE(2000,1,1),$B259&lt;=DATE(2099,12,31)),FALSE()),CHOOSE(WEEKDAY($B259,2),"Monday","Tuesday","Wednesday","Thursday","Friday","Saturday","Sunday"),"")</f>
        <v/>
      </c>
      <c r="G259" s="36" t="str">
        <f aca="false">IF($J259&lt;&gt;1,"",MAX(0,INT((MIN(WinStart+83,$M259)-MAX($K259,$K259+ROUNDUP((WinStart-$K259)/$L259,0)*$L259))/$L259)+1))</f>
        <v/>
      </c>
      <c r="H259" s="37" t="str">
        <f aca="false">IF(AND($A259="",$B259="",$C259="",$D259="",$E259=""),"",IF($I259="","OK","Check details"))</f>
        <v/>
      </c>
      <c r="I259" s="38" t="str">
        <f aca="false">IF(AND($A259="",$B259="",$C259="",$D259="",$E259=""),"",TRIM(IF(TRIM($A259&amp;"")="","Label is missing. ","")&amp;IF($B259="","First visit is missing. ",IF(NOT(ISNUMBER($B259)),"First visit isn't a date (it's text). ",IF($B259&lt;&gt;INT($B259),"First visit has a time; enter a date only. ",IF(OR($B259&lt;DATE(2000,1,1),$B259&gt;DATE(2099,12,31)),"First visit must be from 2000 to 2099. ",""))))&amp;IF($C259="","Repeat every is missing. ",IF(ISNA(MATCH($C259&amp;"",{"Weekly","Every 2 weeks","Every 3 weeks","Every 4 weeks"},0)),"Repeat every must be Weekly or Every 2, 3 or 4 weeks. ",""))&amp;IF($D259="","Visit length is missing. ",IF(NOT(ISNUMBER($D259)),"Visit length must be a number of hours. ",IF($D259&lt;0,"Visit length can't be negative. ",IF($D259=0,"Visit length must be more than 0. ",IF(ABS($D259*100-ROUND($D259*100,0))&gt;0.000001,"Visit length: use up to 2 decimals. ",IF($D259&gt;24,"Visit length: 24 hours or less. ",""))))))&amp;IF($E259="","",IF(NOT(ISNUMBER($E259)),"Last visit isn't a date (it's text). ",IF($E259&lt;&gt;INT($E259),"Last visit has a time; enter a date only. ",IF(OR($E259&lt;DATE(2000,1,1),$E259&gt;DATE(2099,12,31)),"Last visit must be from 2000 to 2099. ",IF(AND(IF(ISNUMBER($B259),AND($B259=INT($B259),$B259&gt;=DATE(2000,1,1),$B259&lt;=DATE(2099,12,31)),FALSE()),$E259&lt;$B259),"Last visit is before the first visit. ","")))))))</f>
        <v/>
      </c>
      <c r="J259" s="39" t="n">
        <f aca="false">IF($H259="OK",1,0)</f>
        <v>0</v>
      </c>
      <c r="K259" s="40" t="n">
        <f aca="false">IF($J259=1,$B259,0)</f>
        <v>0</v>
      </c>
      <c r="L259" s="39" t="n">
        <f aca="false">IF($J259=1,7*MATCH($C259&amp;"",{"Weekly","Every 2 weeks","Every 3 weeks","Every 4 weeks"},0),7)</f>
        <v>7</v>
      </c>
      <c r="M259" s="40" t="n">
        <f aca="false">IF($J259=1,IF($E259="",2958465,$E259),0)</f>
        <v>0</v>
      </c>
      <c r="N259" s="39" t="n">
        <f aca="false">IF($J259=1,ROUND($D259*100,0),0)</f>
        <v>0</v>
      </c>
      <c r="O259" s="40" t="str">
        <f aca="false">IF($J259&lt;&gt;1,"",IF(AND((WeekMon+WEEKDAY($K259,2)-1)&gt;=$K259,MOD((WeekMon+WEEKDAY($K259,2)-1)-$K259,$L259)=0,(WeekMon+WEEKDAY($K259,2)-1)&lt;=$M259),(WeekMon+WEEKDAY($K259,2)-1),""))</f>
        <v/>
      </c>
      <c r="P259" s="39" t="str">
        <f aca="false">IF($O259="","",($O259-WeekMon)*1000+ROW()-11)</f>
        <v/>
      </c>
    </row>
    <row r="260" customFormat="false" ht="15" hidden="false" customHeight="false" outlineLevel="0" collapsed="false">
      <c r="A260" s="33"/>
      <c r="B260" s="34"/>
      <c r="C260" s="33"/>
      <c r="D260" s="35"/>
      <c r="E260" s="34"/>
      <c r="F260" s="36" t="str">
        <f aca="false">IF(IF(ISNUMBER($B260),AND($B260=INT($B260),$B260&gt;=DATE(2000,1,1),$B260&lt;=DATE(2099,12,31)),FALSE()),CHOOSE(WEEKDAY($B260,2),"Monday","Tuesday","Wednesday","Thursday","Friday","Saturday","Sunday"),"")</f>
        <v/>
      </c>
      <c r="G260" s="36" t="str">
        <f aca="false">IF($J260&lt;&gt;1,"",MAX(0,INT((MIN(WinStart+83,$M260)-MAX($K260,$K260+ROUNDUP((WinStart-$K260)/$L260,0)*$L260))/$L260)+1))</f>
        <v/>
      </c>
      <c r="H260" s="37" t="str">
        <f aca="false">IF(AND($A260="",$B260="",$C260="",$D260="",$E260=""),"",IF($I260="","OK","Check details"))</f>
        <v/>
      </c>
      <c r="I260" s="38" t="str">
        <f aca="false">IF(AND($A260="",$B260="",$C260="",$D260="",$E260=""),"",TRIM(IF(TRIM($A260&amp;"")="","Label is missing. ","")&amp;IF($B260="","First visit is missing. ",IF(NOT(ISNUMBER($B260)),"First visit isn't a date (it's text). ",IF($B260&lt;&gt;INT($B260),"First visit has a time; enter a date only. ",IF(OR($B260&lt;DATE(2000,1,1),$B260&gt;DATE(2099,12,31)),"First visit must be from 2000 to 2099. ",""))))&amp;IF($C260="","Repeat every is missing. ",IF(ISNA(MATCH($C260&amp;"",{"Weekly","Every 2 weeks","Every 3 weeks","Every 4 weeks"},0)),"Repeat every must be Weekly or Every 2, 3 or 4 weeks. ",""))&amp;IF($D260="","Visit length is missing. ",IF(NOT(ISNUMBER($D260)),"Visit length must be a number of hours. ",IF($D260&lt;0,"Visit length can't be negative. ",IF($D260=0,"Visit length must be more than 0. ",IF(ABS($D260*100-ROUND($D260*100,0))&gt;0.000001,"Visit length: use up to 2 decimals. ",IF($D260&gt;24,"Visit length: 24 hours or less. ",""))))))&amp;IF($E260="","",IF(NOT(ISNUMBER($E260)),"Last visit isn't a date (it's text). ",IF($E260&lt;&gt;INT($E260),"Last visit has a time; enter a date only. ",IF(OR($E260&lt;DATE(2000,1,1),$E260&gt;DATE(2099,12,31)),"Last visit must be from 2000 to 2099. ",IF(AND(IF(ISNUMBER($B260),AND($B260=INT($B260),$B260&gt;=DATE(2000,1,1),$B260&lt;=DATE(2099,12,31)),FALSE()),$E260&lt;$B260),"Last visit is before the first visit. ","")))))))</f>
        <v/>
      </c>
      <c r="J260" s="39" t="n">
        <f aca="false">IF($H260="OK",1,0)</f>
        <v>0</v>
      </c>
      <c r="K260" s="40" t="n">
        <f aca="false">IF($J260=1,$B260,0)</f>
        <v>0</v>
      </c>
      <c r="L260" s="39" t="n">
        <f aca="false">IF($J260=1,7*MATCH($C260&amp;"",{"Weekly","Every 2 weeks","Every 3 weeks","Every 4 weeks"},0),7)</f>
        <v>7</v>
      </c>
      <c r="M260" s="40" t="n">
        <f aca="false">IF($J260=1,IF($E260="",2958465,$E260),0)</f>
        <v>0</v>
      </c>
      <c r="N260" s="39" t="n">
        <f aca="false">IF($J260=1,ROUND($D260*100,0),0)</f>
        <v>0</v>
      </c>
      <c r="O260" s="40" t="str">
        <f aca="false">IF($J260&lt;&gt;1,"",IF(AND((WeekMon+WEEKDAY($K260,2)-1)&gt;=$K260,MOD((WeekMon+WEEKDAY($K260,2)-1)-$K260,$L260)=0,(WeekMon+WEEKDAY($K260,2)-1)&lt;=$M260),(WeekMon+WEEKDAY($K260,2)-1),""))</f>
        <v/>
      </c>
      <c r="P260" s="39" t="str">
        <f aca="false">IF($O260="","",($O260-WeekMon)*1000+ROW()-11)</f>
        <v/>
      </c>
    </row>
    <row r="261" customFormat="false" ht="15" hidden="false" customHeight="false" outlineLevel="0" collapsed="false">
      <c r="A261" s="33"/>
      <c r="B261" s="34"/>
      <c r="C261" s="33"/>
      <c r="D261" s="35"/>
      <c r="E261" s="34"/>
      <c r="F261" s="36" t="str">
        <f aca="false">IF(IF(ISNUMBER($B261),AND($B261=INT($B261),$B261&gt;=DATE(2000,1,1),$B261&lt;=DATE(2099,12,31)),FALSE()),CHOOSE(WEEKDAY($B261,2),"Monday","Tuesday","Wednesday","Thursday","Friday","Saturday","Sunday"),"")</f>
        <v/>
      </c>
      <c r="G261" s="36" t="str">
        <f aca="false">IF($J261&lt;&gt;1,"",MAX(0,INT((MIN(WinStart+83,$M261)-MAX($K261,$K261+ROUNDUP((WinStart-$K261)/$L261,0)*$L261))/$L261)+1))</f>
        <v/>
      </c>
      <c r="H261" s="37" t="str">
        <f aca="false">IF(AND($A261="",$B261="",$C261="",$D261="",$E261=""),"",IF($I261="","OK","Check details"))</f>
        <v/>
      </c>
      <c r="I261" s="38" t="str">
        <f aca="false">IF(AND($A261="",$B261="",$C261="",$D261="",$E261=""),"",TRIM(IF(TRIM($A261&amp;"")="","Label is missing. ","")&amp;IF($B261="","First visit is missing. ",IF(NOT(ISNUMBER($B261)),"First visit isn't a date (it's text). ",IF($B261&lt;&gt;INT($B261),"First visit has a time; enter a date only. ",IF(OR($B261&lt;DATE(2000,1,1),$B261&gt;DATE(2099,12,31)),"First visit must be from 2000 to 2099. ",""))))&amp;IF($C261="","Repeat every is missing. ",IF(ISNA(MATCH($C261&amp;"",{"Weekly","Every 2 weeks","Every 3 weeks","Every 4 weeks"},0)),"Repeat every must be Weekly or Every 2, 3 or 4 weeks. ",""))&amp;IF($D261="","Visit length is missing. ",IF(NOT(ISNUMBER($D261)),"Visit length must be a number of hours. ",IF($D261&lt;0,"Visit length can't be negative. ",IF($D261=0,"Visit length must be more than 0. ",IF(ABS($D261*100-ROUND($D261*100,0))&gt;0.000001,"Visit length: use up to 2 decimals. ",IF($D261&gt;24,"Visit length: 24 hours or less. ",""))))))&amp;IF($E261="","",IF(NOT(ISNUMBER($E261)),"Last visit isn't a date (it's text). ",IF($E261&lt;&gt;INT($E261),"Last visit has a time; enter a date only. ",IF(OR($E261&lt;DATE(2000,1,1),$E261&gt;DATE(2099,12,31)),"Last visit must be from 2000 to 2099. ",IF(AND(IF(ISNUMBER($B261),AND($B261=INT($B261),$B261&gt;=DATE(2000,1,1),$B261&lt;=DATE(2099,12,31)),FALSE()),$E261&lt;$B261),"Last visit is before the first visit. ","")))))))</f>
        <v/>
      </c>
      <c r="J261" s="39" t="n">
        <f aca="false">IF($H261="OK",1,0)</f>
        <v>0</v>
      </c>
      <c r="K261" s="40" t="n">
        <f aca="false">IF($J261=1,$B261,0)</f>
        <v>0</v>
      </c>
      <c r="L261" s="39" t="n">
        <f aca="false">IF($J261=1,7*MATCH($C261&amp;"",{"Weekly","Every 2 weeks","Every 3 weeks","Every 4 weeks"},0),7)</f>
        <v>7</v>
      </c>
      <c r="M261" s="40" t="n">
        <f aca="false">IF($J261=1,IF($E261="",2958465,$E261),0)</f>
        <v>0</v>
      </c>
      <c r="N261" s="39" t="n">
        <f aca="false">IF($J261=1,ROUND($D261*100,0),0)</f>
        <v>0</v>
      </c>
      <c r="O261" s="40" t="str">
        <f aca="false">IF($J261&lt;&gt;1,"",IF(AND((WeekMon+WEEKDAY($K261,2)-1)&gt;=$K261,MOD((WeekMon+WEEKDAY($K261,2)-1)-$K261,$L261)=0,(WeekMon+WEEKDAY($K261,2)-1)&lt;=$M261),(WeekMon+WEEKDAY($K261,2)-1),""))</f>
        <v/>
      </c>
      <c r="P261" s="39" t="str">
        <f aca="false">IF($O261="","",($O261-WeekMon)*1000+ROW()-11)</f>
        <v/>
      </c>
    </row>
    <row r="262" customFormat="false" ht="15" hidden="false" customHeight="false" outlineLevel="0" collapsed="false">
      <c r="A262" s="33"/>
      <c r="B262" s="34"/>
      <c r="C262" s="33"/>
      <c r="D262" s="35"/>
      <c r="E262" s="34"/>
      <c r="F262" s="36" t="str">
        <f aca="false">IF(IF(ISNUMBER($B262),AND($B262=INT($B262),$B262&gt;=DATE(2000,1,1),$B262&lt;=DATE(2099,12,31)),FALSE()),CHOOSE(WEEKDAY($B262,2),"Monday","Tuesday","Wednesday","Thursday","Friday","Saturday","Sunday"),"")</f>
        <v/>
      </c>
      <c r="G262" s="36" t="str">
        <f aca="false">IF($J262&lt;&gt;1,"",MAX(0,INT((MIN(WinStart+83,$M262)-MAX($K262,$K262+ROUNDUP((WinStart-$K262)/$L262,0)*$L262))/$L262)+1))</f>
        <v/>
      </c>
      <c r="H262" s="37" t="str">
        <f aca="false">IF(AND($A262="",$B262="",$C262="",$D262="",$E262=""),"",IF($I262="","OK","Check details"))</f>
        <v/>
      </c>
      <c r="I262" s="38" t="str">
        <f aca="false">IF(AND($A262="",$B262="",$C262="",$D262="",$E262=""),"",TRIM(IF(TRIM($A262&amp;"")="","Label is missing. ","")&amp;IF($B262="","First visit is missing. ",IF(NOT(ISNUMBER($B262)),"First visit isn't a date (it's text). ",IF($B262&lt;&gt;INT($B262),"First visit has a time; enter a date only. ",IF(OR($B262&lt;DATE(2000,1,1),$B262&gt;DATE(2099,12,31)),"First visit must be from 2000 to 2099. ",""))))&amp;IF($C262="","Repeat every is missing. ",IF(ISNA(MATCH($C262&amp;"",{"Weekly","Every 2 weeks","Every 3 weeks","Every 4 weeks"},0)),"Repeat every must be Weekly or Every 2, 3 or 4 weeks. ",""))&amp;IF($D262="","Visit length is missing. ",IF(NOT(ISNUMBER($D262)),"Visit length must be a number of hours. ",IF($D262&lt;0,"Visit length can't be negative. ",IF($D262=0,"Visit length must be more than 0. ",IF(ABS($D262*100-ROUND($D262*100,0))&gt;0.000001,"Visit length: use up to 2 decimals. ",IF($D262&gt;24,"Visit length: 24 hours or less. ",""))))))&amp;IF($E262="","",IF(NOT(ISNUMBER($E262)),"Last visit isn't a date (it's text). ",IF($E262&lt;&gt;INT($E262),"Last visit has a time; enter a date only. ",IF(OR($E262&lt;DATE(2000,1,1),$E262&gt;DATE(2099,12,31)),"Last visit must be from 2000 to 2099. ",IF(AND(IF(ISNUMBER($B262),AND($B262=INT($B262),$B262&gt;=DATE(2000,1,1),$B262&lt;=DATE(2099,12,31)),FALSE()),$E262&lt;$B262),"Last visit is before the first visit. ","")))))))</f>
        <v/>
      </c>
      <c r="J262" s="39" t="n">
        <f aca="false">IF($H262="OK",1,0)</f>
        <v>0</v>
      </c>
      <c r="K262" s="40" t="n">
        <f aca="false">IF($J262=1,$B262,0)</f>
        <v>0</v>
      </c>
      <c r="L262" s="39" t="n">
        <f aca="false">IF($J262=1,7*MATCH($C262&amp;"",{"Weekly","Every 2 weeks","Every 3 weeks","Every 4 weeks"},0),7)</f>
        <v>7</v>
      </c>
      <c r="M262" s="40" t="n">
        <f aca="false">IF($J262=1,IF($E262="",2958465,$E262),0)</f>
        <v>0</v>
      </c>
      <c r="N262" s="39" t="n">
        <f aca="false">IF($J262=1,ROUND($D262*100,0),0)</f>
        <v>0</v>
      </c>
      <c r="O262" s="40" t="str">
        <f aca="false">IF($J262&lt;&gt;1,"",IF(AND((WeekMon+WEEKDAY($K262,2)-1)&gt;=$K262,MOD((WeekMon+WEEKDAY($K262,2)-1)-$K262,$L262)=0,(WeekMon+WEEKDAY($K262,2)-1)&lt;=$M262),(WeekMon+WEEKDAY($K262,2)-1),""))</f>
        <v/>
      </c>
      <c r="P262" s="39" t="str">
        <f aca="false">IF($O262="","",($O262-WeekMon)*1000+ROW()-11)</f>
        <v/>
      </c>
    </row>
    <row r="263" customFormat="false" ht="15" hidden="false" customHeight="false" outlineLevel="0" collapsed="false">
      <c r="A263" s="33"/>
      <c r="B263" s="34"/>
      <c r="C263" s="33"/>
      <c r="D263" s="35"/>
      <c r="E263" s="34"/>
      <c r="F263" s="36" t="str">
        <f aca="false">IF(IF(ISNUMBER($B263),AND($B263=INT($B263),$B263&gt;=DATE(2000,1,1),$B263&lt;=DATE(2099,12,31)),FALSE()),CHOOSE(WEEKDAY($B263,2),"Monday","Tuesday","Wednesday","Thursday","Friday","Saturday","Sunday"),"")</f>
        <v/>
      </c>
      <c r="G263" s="36" t="str">
        <f aca="false">IF($J263&lt;&gt;1,"",MAX(0,INT((MIN(WinStart+83,$M263)-MAX($K263,$K263+ROUNDUP((WinStart-$K263)/$L263,0)*$L263))/$L263)+1))</f>
        <v/>
      </c>
      <c r="H263" s="37" t="str">
        <f aca="false">IF(AND($A263="",$B263="",$C263="",$D263="",$E263=""),"",IF($I263="","OK","Check details"))</f>
        <v/>
      </c>
      <c r="I263" s="38" t="str">
        <f aca="false">IF(AND($A263="",$B263="",$C263="",$D263="",$E263=""),"",TRIM(IF(TRIM($A263&amp;"")="","Label is missing. ","")&amp;IF($B263="","First visit is missing. ",IF(NOT(ISNUMBER($B263)),"First visit isn't a date (it's text). ",IF($B263&lt;&gt;INT($B263),"First visit has a time; enter a date only. ",IF(OR($B263&lt;DATE(2000,1,1),$B263&gt;DATE(2099,12,31)),"First visit must be from 2000 to 2099. ",""))))&amp;IF($C263="","Repeat every is missing. ",IF(ISNA(MATCH($C263&amp;"",{"Weekly","Every 2 weeks","Every 3 weeks","Every 4 weeks"},0)),"Repeat every must be Weekly or Every 2, 3 or 4 weeks. ",""))&amp;IF($D263="","Visit length is missing. ",IF(NOT(ISNUMBER($D263)),"Visit length must be a number of hours. ",IF($D263&lt;0,"Visit length can't be negative. ",IF($D263=0,"Visit length must be more than 0. ",IF(ABS($D263*100-ROUND($D263*100,0))&gt;0.000001,"Visit length: use up to 2 decimals. ",IF($D263&gt;24,"Visit length: 24 hours or less. ",""))))))&amp;IF($E263="","",IF(NOT(ISNUMBER($E263)),"Last visit isn't a date (it's text). ",IF($E263&lt;&gt;INT($E263),"Last visit has a time; enter a date only. ",IF(OR($E263&lt;DATE(2000,1,1),$E263&gt;DATE(2099,12,31)),"Last visit must be from 2000 to 2099. ",IF(AND(IF(ISNUMBER($B263),AND($B263=INT($B263),$B263&gt;=DATE(2000,1,1),$B263&lt;=DATE(2099,12,31)),FALSE()),$E263&lt;$B263),"Last visit is before the first visit. ","")))))))</f>
        <v/>
      </c>
      <c r="J263" s="39" t="n">
        <f aca="false">IF($H263="OK",1,0)</f>
        <v>0</v>
      </c>
      <c r="K263" s="40" t="n">
        <f aca="false">IF($J263=1,$B263,0)</f>
        <v>0</v>
      </c>
      <c r="L263" s="39" t="n">
        <f aca="false">IF($J263=1,7*MATCH($C263&amp;"",{"Weekly","Every 2 weeks","Every 3 weeks","Every 4 weeks"},0),7)</f>
        <v>7</v>
      </c>
      <c r="M263" s="40" t="n">
        <f aca="false">IF($J263=1,IF($E263="",2958465,$E263),0)</f>
        <v>0</v>
      </c>
      <c r="N263" s="39" t="n">
        <f aca="false">IF($J263=1,ROUND($D263*100,0),0)</f>
        <v>0</v>
      </c>
      <c r="O263" s="40" t="str">
        <f aca="false">IF($J263&lt;&gt;1,"",IF(AND((WeekMon+WEEKDAY($K263,2)-1)&gt;=$K263,MOD((WeekMon+WEEKDAY($K263,2)-1)-$K263,$L263)=0,(WeekMon+WEEKDAY($K263,2)-1)&lt;=$M263),(WeekMon+WEEKDAY($K263,2)-1),""))</f>
        <v/>
      </c>
      <c r="P263" s="39" t="str">
        <f aca="false">IF($O263="","",($O263-WeekMon)*1000+ROW()-11)</f>
        <v/>
      </c>
    </row>
    <row r="264" customFormat="false" ht="15" hidden="false" customHeight="false" outlineLevel="0" collapsed="false">
      <c r="A264" s="33"/>
      <c r="B264" s="34"/>
      <c r="C264" s="33"/>
      <c r="D264" s="35"/>
      <c r="E264" s="34"/>
      <c r="F264" s="36" t="str">
        <f aca="false">IF(IF(ISNUMBER($B264),AND($B264=INT($B264),$B264&gt;=DATE(2000,1,1),$B264&lt;=DATE(2099,12,31)),FALSE()),CHOOSE(WEEKDAY($B264,2),"Monday","Tuesday","Wednesday","Thursday","Friday","Saturday","Sunday"),"")</f>
        <v/>
      </c>
      <c r="G264" s="36" t="str">
        <f aca="false">IF($J264&lt;&gt;1,"",MAX(0,INT((MIN(WinStart+83,$M264)-MAX($K264,$K264+ROUNDUP((WinStart-$K264)/$L264,0)*$L264))/$L264)+1))</f>
        <v/>
      </c>
      <c r="H264" s="37" t="str">
        <f aca="false">IF(AND($A264="",$B264="",$C264="",$D264="",$E264=""),"",IF($I264="","OK","Check details"))</f>
        <v/>
      </c>
      <c r="I264" s="38" t="str">
        <f aca="false">IF(AND($A264="",$B264="",$C264="",$D264="",$E264=""),"",TRIM(IF(TRIM($A264&amp;"")="","Label is missing. ","")&amp;IF($B264="","First visit is missing. ",IF(NOT(ISNUMBER($B264)),"First visit isn't a date (it's text). ",IF($B264&lt;&gt;INT($B264),"First visit has a time; enter a date only. ",IF(OR($B264&lt;DATE(2000,1,1),$B264&gt;DATE(2099,12,31)),"First visit must be from 2000 to 2099. ",""))))&amp;IF($C264="","Repeat every is missing. ",IF(ISNA(MATCH($C264&amp;"",{"Weekly","Every 2 weeks","Every 3 weeks","Every 4 weeks"},0)),"Repeat every must be Weekly or Every 2, 3 or 4 weeks. ",""))&amp;IF($D264="","Visit length is missing. ",IF(NOT(ISNUMBER($D264)),"Visit length must be a number of hours. ",IF($D264&lt;0,"Visit length can't be negative. ",IF($D264=0,"Visit length must be more than 0. ",IF(ABS($D264*100-ROUND($D264*100,0))&gt;0.000001,"Visit length: use up to 2 decimals. ",IF($D264&gt;24,"Visit length: 24 hours or less. ",""))))))&amp;IF($E264="","",IF(NOT(ISNUMBER($E264)),"Last visit isn't a date (it's text). ",IF($E264&lt;&gt;INT($E264),"Last visit has a time; enter a date only. ",IF(OR($E264&lt;DATE(2000,1,1),$E264&gt;DATE(2099,12,31)),"Last visit must be from 2000 to 2099. ",IF(AND(IF(ISNUMBER($B264),AND($B264=INT($B264),$B264&gt;=DATE(2000,1,1),$B264&lt;=DATE(2099,12,31)),FALSE()),$E264&lt;$B264),"Last visit is before the first visit. ","")))))))</f>
        <v/>
      </c>
      <c r="J264" s="39" t="n">
        <f aca="false">IF($H264="OK",1,0)</f>
        <v>0</v>
      </c>
      <c r="K264" s="40" t="n">
        <f aca="false">IF($J264=1,$B264,0)</f>
        <v>0</v>
      </c>
      <c r="L264" s="39" t="n">
        <f aca="false">IF($J264=1,7*MATCH($C264&amp;"",{"Weekly","Every 2 weeks","Every 3 weeks","Every 4 weeks"},0),7)</f>
        <v>7</v>
      </c>
      <c r="M264" s="40" t="n">
        <f aca="false">IF($J264=1,IF($E264="",2958465,$E264),0)</f>
        <v>0</v>
      </c>
      <c r="N264" s="39" t="n">
        <f aca="false">IF($J264=1,ROUND($D264*100,0),0)</f>
        <v>0</v>
      </c>
      <c r="O264" s="40" t="str">
        <f aca="false">IF($J264&lt;&gt;1,"",IF(AND((WeekMon+WEEKDAY($K264,2)-1)&gt;=$K264,MOD((WeekMon+WEEKDAY($K264,2)-1)-$K264,$L264)=0,(WeekMon+WEEKDAY($K264,2)-1)&lt;=$M264),(WeekMon+WEEKDAY($K264,2)-1),""))</f>
        <v/>
      </c>
      <c r="P264" s="39" t="str">
        <f aca="false">IF($O264="","",($O264-WeekMon)*1000+ROW()-11)</f>
        <v/>
      </c>
    </row>
    <row r="265" customFormat="false" ht="15" hidden="false" customHeight="false" outlineLevel="0" collapsed="false">
      <c r="A265" s="33"/>
      <c r="B265" s="34"/>
      <c r="C265" s="33"/>
      <c r="D265" s="35"/>
      <c r="E265" s="34"/>
      <c r="F265" s="36" t="str">
        <f aca="false">IF(IF(ISNUMBER($B265),AND($B265=INT($B265),$B265&gt;=DATE(2000,1,1),$B265&lt;=DATE(2099,12,31)),FALSE()),CHOOSE(WEEKDAY($B265,2),"Monday","Tuesday","Wednesday","Thursday","Friday","Saturday","Sunday"),"")</f>
        <v/>
      </c>
      <c r="G265" s="36" t="str">
        <f aca="false">IF($J265&lt;&gt;1,"",MAX(0,INT((MIN(WinStart+83,$M265)-MAX($K265,$K265+ROUNDUP((WinStart-$K265)/$L265,0)*$L265))/$L265)+1))</f>
        <v/>
      </c>
      <c r="H265" s="37" t="str">
        <f aca="false">IF(AND($A265="",$B265="",$C265="",$D265="",$E265=""),"",IF($I265="","OK","Check details"))</f>
        <v/>
      </c>
      <c r="I265" s="38" t="str">
        <f aca="false">IF(AND($A265="",$B265="",$C265="",$D265="",$E265=""),"",TRIM(IF(TRIM($A265&amp;"")="","Label is missing. ","")&amp;IF($B265="","First visit is missing. ",IF(NOT(ISNUMBER($B265)),"First visit isn't a date (it's text). ",IF($B265&lt;&gt;INT($B265),"First visit has a time; enter a date only. ",IF(OR($B265&lt;DATE(2000,1,1),$B265&gt;DATE(2099,12,31)),"First visit must be from 2000 to 2099. ",""))))&amp;IF($C265="","Repeat every is missing. ",IF(ISNA(MATCH($C265&amp;"",{"Weekly","Every 2 weeks","Every 3 weeks","Every 4 weeks"},0)),"Repeat every must be Weekly or Every 2, 3 or 4 weeks. ",""))&amp;IF($D265="","Visit length is missing. ",IF(NOT(ISNUMBER($D265)),"Visit length must be a number of hours. ",IF($D265&lt;0,"Visit length can't be negative. ",IF($D265=0,"Visit length must be more than 0. ",IF(ABS($D265*100-ROUND($D265*100,0))&gt;0.000001,"Visit length: use up to 2 decimals. ",IF($D265&gt;24,"Visit length: 24 hours or less. ",""))))))&amp;IF($E265="","",IF(NOT(ISNUMBER($E265)),"Last visit isn't a date (it's text). ",IF($E265&lt;&gt;INT($E265),"Last visit has a time; enter a date only. ",IF(OR($E265&lt;DATE(2000,1,1),$E265&gt;DATE(2099,12,31)),"Last visit must be from 2000 to 2099. ",IF(AND(IF(ISNUMBER($B265),AND($B265=INT($B265),$B265&gt;=DATE(2000,1,1),$B265&lt;=DATE(2099,12,31)),FALSE()),$E265&lt;$B265),"Last visit is before the first visit. ","")))))))</f>
        <v/>
      </c>
      <c r="J265" s="39" t="n">
        <f aca="false">IF($H265="OK",1,0)</f>
        <v>0</v>
      </c>
      <c r="K265" s="40" t="n">
        <f aca="false">IF($J265=1,$B265,0)</f>
        <v>0</v>
      </c>
      <c r="L265" s="39" t="n">
        <f aca="false">IF($J265=1,7*MATCH($C265&amp;"",{"Weekly","Every 2 weeks","Every 3 weeks","Every 4 weeks"},0),7)</f>
        <v>7</v>
      </c>
      <c r="M265" s="40" t="n">
        <f aca="false">IF($J265=1,IF($E265="",2958465,$E265),0)</f>
        <v>0</v>
      </c>
      <c r="N265" s="39" t="n">
        <f aca="false">IF($J265=1,ROUND($D265*100,0),0)</f>
        <v>0</v>
      </c>
      <c r="O265" s="40" t="str">
        <f aca="false">IF($J265&lt;&gt;1,"",IF(AND((WeekMon+WEEKDAY($K265,2)-1)&gt;=$K265,MOD((WeekMon+WEEKDAY($K265,2)-1)-$K265,$L265)=0,(WeekMon+WEEKDAY($K265,2)-1)&lt;=$M265),(WeekMon+WEEKDAY($K265,2)-1),""))</f>
        <v/>
      </c>
      <c r="P265" s="39" t="str">
        <f aca="false">IF($O265="","",($O265-WeekMon)*1000+ROW()-11)</f>
        <v/>
      </c>
    </row>
    <row r="266" customFormat="false" ht="15" hidden="false" customHeight="false" outlineLevel="0" collapsed="false">
      <c r="A266" s="33"/>
      <c r="B266" s="34"/>
      <c r="C266" s="33"/>
      <c r="D266" s="35"/>
      <c r="E266" s="34"/>
      <c r="F266" s="36" t="str">
        <f aca="false">IF(IF(ISNUMBER($B266),AND($B266=INT($B266),$B266&gt;=DATE(2000,1,1),$B266&lt;=DATE(2099,12,31)),FALSE()),CHOOSE(WEEKDAY($B266,2),"Monday","Tuesday","Wednesday","Thursday","Friday","Saturday","Sunday"),"")</f>
        <v/>
      </c>
      <c r="G266" s="36" t="str">
        <f aca="false">IF($J266&lt;&gt;1,"",MAX(0,INT((MIN(WinStart+83,$M266)-MAX($K266,$K266+ROUNDUP((WinStart-$K266)/$L266,0)*$L266))/$L266)+1))</f>
        <v/>
      </c>
      <c r="H266" s="37" t="str">
        <f aca="false">IF(AND($A266="",$B266="",$C266="",$D266="",$E266=""),"",IF($I266="","OK","Check details"))</f>
        <v/>
      </c>
      <c r="I266" s="38" t="str">
        <f aca="false">IF(AND($A266="",$B266="",$C266="",$D266="",$E266=""),"",TRIM(IF(TRIM($A266&amp;"")="","Label is missing. ","")&amp;IF($B266="","First visit is missing. ",IF(NOT(ISNUMBER($B266)),"First visit isn't a date (it's text). ",IF($B266&lt;&gt;INT($B266),"First visit has a time; enter a date only. ",IF(OR($B266&lt;DATE(2000,1,1),$B266&gt;DATE(2099,12,31)),"First visit must be from 2000 to 2099. ",""))))&amp;IF($C266="","Repeat every is missing. ",IF(ISNA(MATCH($C266&amp;"",{"Weekly","Every 2 weeks","Every 3 weeks","Every 4 weeks"},0)),"Repeat every must be Weekly or Every 2, 3 or 4 weeks. ",""))&amp;IF($D266="","Visit length is missing. ",IF(NOT(ISNUMBER($D266)),"Visit length must be a number of hours. ",IF($D266&lt;0,"Visit length can't be negative. ",IF($D266=0,"Visit length must be more than 0. ",IF(ABS($D266*100-ROUND($D266*100,0))&gt;0.000001,"Visit length: use up to 2 decimals. ",IF($D266&gt;24,"Visit length: 24 hours or less. ",""))))))&amp;IF($E266="","",IF(NOT(ISNUMBER($E266)),"Last visit isn't a date (it's text). ",IF($E266&lt;&gt;INT($E266),"Last visit has a time; enter a date only. ",IF(OR($E266&lt;DATE(2000,1,1),$E266&gt;DATE(2099,12,31)),"Last visit must be from 2000 to 2099. ",IF(AND(IF(ISNUMBER($B266),AND($B266=INT($B266),$B266&gt;=DATE(2000,1,1),$B266&lt;=DATE(2099,12,31)),FALSE()),$E266&lt;$B266),"Last visit is before the first visit. ","")))))))</f>
        <v/>
      </c>
      <c r="J266" s="39" t="n">
        <f aca="false">IF($H266="OK",1,0)</f>
        <v>0</v>
      </c>
      <c r="K266" s="40" t="n">
        <f aca="false">IF($J266=1,$B266,0)</f>
        <v>0</v>
      </c>
      <c r="L266" s="39" t="n">
        <f aca="false">IF($J266=1,7*MATCH($C266&amp;"",{"Weekly","Every 2 weeks","Every 3 weeks","Every 4 weeks"},0),7)</f>
        <v>7</v>
      </c>
      <c r="M266" s="40" t="n">
        <f aca="false">IF($J266=1,IF($E266="",2958465,$E266),0)</f>
        <v>0</v>
      </c>
      <c r="N266" s="39" t="n">
        <f aca="false">IF($J266=1,ROUND($D266*100,0),0)</f>
        <v>0</v>
      </c>
      <c r="O266" s="40" t="str">
        <f aca="false">IF($J266&lt;&gt;1,"",IF(AND((WeekMon+WEEKDAY($K266,2)-1)&gt;=$K266,MOD((WeekMon+WEEKDAY($K266,2)-1)-$K266,$L266)=0,(WeekMon+WEEKDAY($K266,2)-1)&lt;=$M266),(WeekMon+WEEKDAY($K266,2)-1),""))</f>
        <v/>
      </c>
      <c r="P266" s="39" t="str">
        <f aca="false">IF($O266="","",($O266-WeekMon)*1000+ROW()-11)</f>
        <v/>
      </c>
    </row>
    <row r="267" customFormat="false" ht="15" hidden="false" customHeight="false" outlineLevel="0" collapsed="false">
      <c r="A267" s="33"/>
      <c r="B267" s="34"/>
      <c r="C267" s="33"/>
      <c r="D267" s="35"/>
      <c r="E267" s="34"/>
      <c r="F267" s="36" t="str">
        <f aca="false">IF(IF(ISNUMBER($B267),AND($B267=INT($B267),$B267&gt;=DATE(2000,1,1),$B267&lt;=DATE(2099,12,31)),FALSE()),CHOOSE(WEEKDAY($B267,2),"Monday","Tuesday","Wednesday","Thursday","Friday","Saturday","Sunday"),"")</f>
        <v/>
      </c>
      <c r="G267" s="36" t="str">
        <f aca="false">IF($J267&lt;&gt;1,"",MAX(0,INT((MIN(WinStart+83,$M267)-MAX($K267,$K267+ROUNDUP((WinStart-$K267)/$L267,0)*$L267))/$L267)+1))</f>
        <v/>
      </c>
      <c r="H267" s="37" t="str">
        <f aca="false">IF(AND($A267="",$B267="",$C267="",$D267="",$E267=""),"",IF($I267="","OK","Check details"))</f>
        <v/>
      </c>
      <c r="I267" s="38" t="str">
        <f aca="false">IF(AND($A267="",$B267="",$C267="",$D267="",$E267=""),"",TRIM(IF(TRIM($A267&amp;"")="","Label is missing. ","")&amp;IF($B267="","First visit is missing. ",IF(NOT(ISNUMBER($B267)),"First visit isn't a date (it's text). ",IF($B267&lt;&gt;INT($B267),"First visit has a time; enter a date only. ",IF(OR($B267&lt;DATE(2000,1,1),$B267&gt;DATE(2099,12,31)),"First visit must be from 2000 to 2099. ",""))))&amp;IF($C267="","Repeat every is missing. ",IF(ISNA(MATCH($C267&amp;"",{"Weekly","Every 2 weeks","Every 3 weeks","Every 4 weeks"},0)),"Repeat every must be Weekly or Every 2, 3 or 4 weeks. ",""))&amp;IF($D267="","Visit length is missing. ",IF(NOT(ISNUMBER($D267)),"Visit length must be a number of hours. ",IF($D267&lt;0,"Visit length can't be negative. ",IF($D267=0,"Visit length must be more than 0. ",IF(ABS($D267*100-ROUND($D267*100,0))&gt;0.000001,"Visit length: use up to 2 decimals. ",IF($D267&gt;24,"Visit length: 24 hours or less. ",""))))))&amp;IF($E267="","",IF(NOT(ISNUMBER($E267)),"Last visit isn't a date (it's text). ",IF($E267&lt;&gt;INT($E267),"Last visit has a time; enter a date only. ",IF(OR($E267&lt;DATE(2000,1,1),$E267&gt;DATE(2099,12,31)),"Last visit must be from 2000 to 2099. ",IF(AND(IF(ISNUMBER($B267),AND($B267=INT($B267),$B267&gt;=DATE(2000,1,1),$B267&lt;=DATE(2099,12,31)),FALSE()),$E267&lt;$B267),"Last visit is before the first visit. ","")))))))</f>
        <v/>
      </c>
      <c r="J267" s="39" t="n">
        <f aca="false">IF($H267="OK",1,0)</f>
        <v>0</v>
      </c>
      <c r="K267" s="40" t="n">
        <f aca="false">IF($J267=1,$B267,0)</f>
        <v>0</v>
      </c>
      <c r="L267" s="39" t="n">
        <f aca="false">IF($J267=1,7*MATCH($C267&amp;"",{"Weekly","Every 2 weeks","Every 3 weeks","Every 4 weeks"},0),7)</f>
        <v>7</v>
      </c>
      <c r="M267" s="40" t="n">
        <f aca="false">IF($J267=1,IF($E267="",2958465,$E267),0)</f>
        <v>0</v>
      </c>
      <c r="N267" s="39" t="n">
        <f aca="false">IF($J267=1,ROUND($D267*100,0),0)</f>
        <v>0</v>
      </c>
      <c r="O267" s="40" t="str">
        <f aca="false">IF($J267&lt;&gt;1,"",IF(AND((WeekMon+WEEKDAY($K267,2)-1)&gt;=$K267,MOD((WeekMon+WEEKDAY($K267,2)-1)-$K267,$L267)=0,(WeekMon+WEEKDAY($K267,2)-1)&lt;=$M267),(WeekMon+WEEKDAY($K267,2)-1),""))</f>
        <v/>
      </c>
      <c r="P267" s="39" t="str">
        <f aca="false">IF($O267="","",($O267-WeekMon)*1000+ROW()-11)</f>
        <v/>
      </c>
    </row>
    <row r="268" customFormat="false" ht="15" hidden="false" customHeight="false" outlineLevel="0" collapsed="false">
      <c r="A268" s="33"/>
      <c r="B268" s="34"/>
      <c r="C268" s="33"/>
      <c r="D268" s="35"/>
      <c r="E268" s="34"/>
      <c r="F268" s="36" t="str">
        <f aca="false">IF(IF(ISNUMBER($B268),AND($B268=INT($B268),$B268&gt;=DATE(2000,1,1),$B268&lt;=DATE(2099,12,31)),FALSE()),CHOOSE(WEEKDAY($B268,2),"Monday","Tuesday","Wednesday","Thursday","Friday","Saturday","Sunday"),"")</f>
        <v/>
      </c>
      <c r="G268" s="36" t="str">
        <f aca="false">IF($J268&lt;&gt;1,"",MAX(0,INT((MIN(WinStart+83,$M268)-MAX($K268,$K268+ROUNDUP((WinStart-$K268)/$L268,0)*$L268))/$L268)+1))</f>
        <v/>
      </c>
      <c r="H268" s="37" t="str">
        <f aca="false">IF(AND($A268="",$B268="",$C268="",$D268="",$E268=""),"",IF($I268="","OK","Check details"))</f>
        <v/>
      </c>
      <c r="I268" s="38" t="str">
        <f aca="false">IF(AND($A268="",$B268="",$C268="",$D268="",$E268=""),"",TRIM(IF(TRIM($A268&amp;"")="","Label is missing. ","")&amp;IF($B268="","First visit is missing. ",IF(NOT(ISNUMBER($B268)),"First visit isn't a date (it's text). ",IF($B268&lt;&gt;INT($B268),"First visit has a time; enter a date only. ",IF(OR($B268&lt;DATE(2000,1,1),$B268&gt;DATE(2099,12,31)),"First visit must be from 2000 to 2099. ",""))))&amp;IF($C268="","Repeat every is missing. ",IF(ISNA(MATCH($C268&amp;"",{"Weekly","Every 2 weeks","Every 3 weeks","Every 4 weeks"},0)),"Repeat every must be Weekly or Every 2, 3 or 4 weeks. ",""))&amp;IF($D268="","Visit length is missing. ",IF(NOT(ISNUMBER($D268)),"Visit length must be a number of hours. ",IF($D268&lt;0,"Visit length can't be negative. ",IF($D268=0,"Visit length must be more than 0. ",IF(ABS($D268*100-ROUND($D268*100,0))&gt;0.000001,"Visit length: use up to 2 decimals. ",IF($D268&gt;24,"Visit length: 24 hours or less. ",""))))))&amp;IF($E268="","",IF(NOT(ISNUMBER($E268)),"Last visit isn't a date (it's text). ",IF($E268&lt;&gt;INT($E268),"Last visit has a time; enter a date only. ",IF(OR($E268&lt;DATE(2000,1,1),$E268&gt;DATE(2099,12,31)),"Last visit must be from 2000 to 2099. ",IF(AND(IF(ISNUMBER($B268),AND($B268=INT($B268),$B268&gt;=DATE(2000,1,1),$B268&lt;=DATE(2099,12,31)),FALSE()),$E268&lt;$B268),"Last visit is before the first visit. ","")))))))</f>
        <v/>
      </c>
      <c r="J268" s="39" t="n">
        <f aca="false">IF($H268="OK",1,0)</f>
        <v>0</v>
      </c>
      <c r="K268" s="40" t="n">
        <f aca="false">IF($J268=1,$B268,0)</f>
        <v>0</v>
      </c>
      <c r="L268" s="39" t="n">
        <f aca="false">IF($J268=1,7*MATCH($C268&amp;"",{"Weekly","Every 2 weeks","Every 3 weeks","Every 4 weeks"},0),7)</f>
        <v>7</v>
      </c>
      <c r="M268" s="40" t="n">
        <f aca="false">IF($J268=1,IF($E268="",2958465,$E268),0)</f>
        <v>0</v>
      </c>
      <c r="N268" s="39" t="n">
        <f aca="false">IF($J268=1,ROUND($D268*100,0),0)</f>
        <v>0</v>
      </c>
      <c r="O268" s="40" t="str">
        <f aca="false">IF($J268&lt;&gt;1,"",IF(AND((WeekMon+WEEKDAY($K268,2)-1)&gt;=$K268,MOD((WeekMon+WEEKDAY($K268,2)-1)-$K268,$L268)=0,(WeekMon+WEEKDAY($K268,2)-1)&lt;=$M268),(WeekMon+WEEKDAY($K268,2)-1),""))</f>
        <v/>
      </c>
      <c r="P268" s="39" t="str">
        <f aca="false">IF($O268="","",($O268-WeekMon)*1000+ROW()-11)</f>
        <v/>
      </c>
    </row>
    <row r="269" customFormat="false" ht="15" hidden="false" customHeight="false" outlineLevel="0" collapsed="false">
      <c r="A269" s="33"/>
      <c r="B269" s="34"/>
      <c r="C269" s="33"/>
      <c r="D269" s="35"/>
      <c r="E269" s="34"/>
      <c r="F269" s="36" t="str">
        <f aca="false">IF(IF(ISNUMBER($B269),AND($B269=INT($B269),$B269&gt;=DATE(2000,1,1),$B269&lt;=DATE(2099,12,31)),FALSE()),CHOOSE(WEEKDAY($B269,2),"Monday","Tuesday","Wednesday","Thursday","Friday","Saturday","Sunday"),"")</f>
        <v/>
      </c>
      <c r="G269" s="36" t="str">
        <f aca="false">IF($J269&lt;&gt;1,"",MAX(0,INT((MIN(WinStart+83,$M269)-MAX($K269,$K269+ROUNDUP((WinStart-$K269)/$L269,0)*$L269))/$L269)+1))</f>
        <v/>
      </c>
      <c r="H269" s="37" t="str">
        <f aca="false">IF(AND($A269="",$B269="",$C269="",$D269="",$E269=""),"",IF($I269="","OK","Check details"))</f>
        <v/>
      </c>
      <c r="I269" s="38" t="str">
        <f aca="false">IF(AND($A269="",$B269="",$C269="",$D269="",$E269=""),"",TRIM(IF(TRIM($A269&amp;"")="","Label is missing. ","")&amp;IF($B269="","First visit is missing. ",IF(NOT(ISNUMBER($B269)),"First visit isn't a date (it's text). ",IF($B269&lt;&gt;INT($B269),"First visit has a time; enter a date only. ",IF(OR($B269&lt;DATE(2000,1,1),$B269&gt;DATE(2099,12,31)),"First visit must be from 2000 to 2099. ",""))))&amp;IF($C269="","Repeat every is missing. ",IF(ISNA(MATCH($C269&amp;"",{"Weekly","Every 2 weeks","Every 3 weeks","Every 4 weeks"},0)),"Repeat every must be Weekly or Every 2, 3 or 4 weeks. ",""))&amp;IF($D269="","Visit length is missing. ",IF(NOT(ISNUMBER($D269)),"Visit length must be a number of hours. ",IF($D269&lt;0,"Visit length can't be negative. ",IF($D269=0,"Visit length must be more than 0. ",IF(ABS($D269*100-ROUND($D269*100,0))&gt;0.000001,"Visit length: use up to 2 decimals. ",IF($D269&gt;24,"Visit length: 24 hours or less. ",""))))))&amp;IF($E269="","",IF(NOT(ISNUMBER($E269)),"Last visit isn't a date (it's text). ",IF($E269&lt;&gt;INT($E269),"Last visit has a time; enter a date only. ",IF(OR($E269&lt;DATE(2000,1,1),$E269&gt;DATE(2099,12,31)),"Last visit must be from 2000 to 2099. ",IF(AND(IF(ISNUMBER($B269),AND($B269=INT($B269),$B269&gt;=DATE(2000,1,1),$B269&lt;=DATE(2099,12,31)),FALSE()),$E269&lt;$B269),"Last visit is before the first visit. ","")))))))</f>
        <v/>
      </c>
      <c r="J269" s="39" t="n">
        <f aca="false">IF($H269="OK",1,0)</f>
        <v>0</v>
      </c>
      <c r="K269" s="40" t="n">
        <f aca="false">IF($J269=1,$B269,0)</f>
        <v>0</v>
      </c>
      <c r="L269" s="39" t="n">
        <f aca="false">IF($J269=1,7*MATCH($C269&amp;"",{"Weekly","Every 2 weeks","Every 3 weeks","Every 4 weeks"},0),7)</f>
        <v>7</v>
      </c>
      <c r="M269" s="40" t="n">
        <f aca="false">IF($J269=1,IF($E269="",2958465,$E269),0)</f>
        <v>0</v>
      </c>
      <c r="N269" s="39" t="n">
        <f aca="false">IF($J269=1,ROUND($D269*100,0),0)</f>
        <v>0</v>
      </c>
      <c r="O269" s="40" t="str">
        <f aca="false">IF($J269&lt;&gt;1,"",IF(AND((WeekMon+WEEKDAY($K269,2)-1)&gt;=$K269,MOD((WeekMon+WEEKDAY($K269,2)-1)-$K269,$L269)=0,(WeekMon+WEEKDAY($K269,2)-1)&lt;=$M269),(WeekMon+WEEKDAY($K269,2)-1),""))</f>
        <v/>
      </c>
      <c r="P269" s="39" t="str">
        <f aca="false">IF($O269="","",($O269-WeekMon)*1000+ROW()-11)</f>
        <v/>
      </c>
    </row>
    <row r="270" customFormat="false" ht="15" hidden="false" customHeight="false" outlineLevel="0" collapsed="false">
      <c r="A270" s="33"/>
      <c r="B270" s="34"/>
      <c r="C270" s="33"/>
      <c r="D270" s="35"/>
      <c r="E270" s="34"/>
      <c r="F270" s="36" t="str">
        <f aca="false">IF(IF(ISNUMBER($B270),AND($B270=INT($B270),$B270&gt;=DATE(2000,1,1),$B270&lt;=DATE(2099,12,31)),FALSE()),CHOOSE(WEEKDAY($B270,2),"Monday","Tuesday","Wednesday","Thursday","Friday","Saturday","Sunday"),"")</f>
        <v/>
      </c>
      <c r="G270" s="36" t="str">
        <f aca="false">IF($J270&lt;&gt;1,"",MAX(0,INT((MIN(WinStart+83,$M270)-MAX($K270,$K270+ROUNDUP((WinStart-$K270)/$L270,0)*$L270))/$L270)+1))</f>
        <v/>
      </c>
      <c r="H270" s="37" t="str">
        <f aca="false">IF(AND($A270="",$B270="",$C270="",$D270="",$E270=""),"",IF($I270="","OK","Check details"))</f>
        <v/>
      </c>
      <c r="I270" s="38" t="str">
        <f aca="false">IF(AND($A270="",$B270="",$C270="",$D270="",$E270=""),"",TRIM(IF(TRIM($A270&amp;"")="","Label is missing. ","")&amp;IF($B270="","First visit is missing. ",IF(NOT(ISNUMBER($B270)),"First visit isn't a date (it's text). ",IF($B270&lt;&gt;INT($B270),"First visit has a time; enter a date only. ",IF(OR($B270&lt;DATE(2000,1,1),$B270&gt;DATE(2099,12,31)),"First visit must be from 2000 to 2099. ",""))))&amp;IF($C270="","Repeat every is missing. ",IF(ISNA(MATCH($C270&amp;"",{"Weekly","Every 2 weeks","Every 3 weeks","Every 4 weeks"},0)),"Repeat every must be Weekly or Every 2, 3 or 4 weeks. ",""))&amp;IF($D270="","Visit length is missing. ",IF(NOT(ISNUMBER($D270)),"Visit length must be a number of hours. ",IF($D270&lt;0,"Visit length can't be negative. ",IF($D270=0,"Visit length must be more than 0. ",IF(ABS($D270*100-ROUND($D270*100,0))&gt;0.000001,"Visit length: use up to 2 decimals. ",IF($D270&gt;24,"Visit length: 24 hours or less. ",""))))))&amp;IF($E270="","",IF(NOT(ISNUMBER($E270)),"Last visit isn't a date (it's text). ",IF($E270&lt;&gt;INT($E270),"Last visit has a time; enter a date only. ",IF(OR($E270&lt;DATE(2000,1,1),$E270&gt;DATE(2099,12,31)),"Last visit must be from 2000 to 2099. ",IF(AND(IF(ISNUMBER($B270),AND($B270=INT($B270),$B270&gt;=DATE(2000,1,1),$B270&lt;=DATE(2099,12,31)),FALSE()),$E270&lt;$B270),"Last visit is before the first visit. ","")))))))</f>
        <v/>
      </c>
      <c r="J270" s="39" t="n">
        <f aca="false">IF($H270="OK",1,0)</f>
        <v>0</v>
      </c>
      <c r="K270" s="40" t="n">
        <f aca="false">IF($J270=1,$B270,0)</f>
        <v>0</v>
      </c>
      <c r="L270" s="39" t="n">
        <f aca="false">IF($J270=1,7*MATCH($C270&amp;"",{"Weekly","Every 2 weeks","Every 3 weeks","Every 4 weeks"},0),7)</f>
        <v>7</v>
      </c>
      <c r="M270" s="40" t="n">
        <f aca="false">IF($J270=1,IF($E270="",2958465,$E270),0)</f>
        <v>0</v>
      </c>
      <c r="N270" s="39" t="n">
        <f aca="false">IF($J270=1,ROUND($D270*100,0),0)</f>
        <v>0</v>
      </c>
      <c r="O270" s="40" t="str">
        <f aca="false">IF($J270&lt;&gt;1,"",IF(AND((WeekMon+WEEKDAY($K270,2)-1)&gt;=$K270,MOD((WeekMon+WEEKDAY($K270,2)-1)-$K270,$L270)=0,(WeekMon+WEEKDAY($K270,2)-1)&lt;=$M270),(WeekMon+WEEKDAY($K270,2)-1),""))</f>
        <v/>
      </c>
      <c r="P270" s="39" t="str">
        <f aca="false">IF($O270="","",($O270-WeekMon)*1000+ROW()-11)</f>
        <v/>
      </c>
    </row>
    <row r="271" customFormat="false" ht="15" hidden="false" customHeight="false" outlineLevel="0" collapsed="false">
      <c r="A271" s="33"/>
      <c r="B271" s="34"/>
      <c r="C271" s="33"/>
      <c r="D271" s="35"/>
      <c r="E271" s="34"/>
      <c r="F271" s="36" t="str">
        <f aca="false">IF(IF(ISNUMBER($B271),AND($B271=INT($B271),$B271&gt;=DATE(2000,1,1),$B271&lt;=DATE(2099,12,31)),FALSE()),CHOOSE(WEEKDAY($B271,2),"Monday","Tuesday","Wednesday","Thursday","Friday","Saturday","Sunday"),"")</f>
        <v/>
      </c>
      <c r="G271" s="36" t="str">
        <f aca="false">IF($J271&lt;&gt;1,"",MAX(0,INT((MIN(WinStart+83,$M271)-MAX($K271,$K271+ROUNDUP((WinStart-$K271)/$L271,0)*$L271))/$L271)+1))</f>
        <v/>
      </c>
      <c r="H271" s="37" t="str">
        <f aca="false">IF(AND($A271="",$B271="",$C271="",$D271="",$E271=""),"",IF($I271="","OK","Check details"))</f>
        <v/>
      </c>
      <c r="I271" s="38" t="str">
        <f aca="false">IF(AND($A271="",$B271="",$C271="",$D271="",$E271=""),"",TRIM(IF(TRIM($A271&amp;"")="","Label is missing. ","")&amp;IF($B271="","First visit is missing. ",IF(NOT(ISNUMBER($B271)),"First visit isn't a date (it's text). ",IF($B271&lt;&gt;INT($B271),"First visit has a time; enter a date only. ",IF(OR($B271&lt;DATE(2000,1,1),$B271&gt;DATE(2099,12,31)),"First visit must be from 2000 to 2099. ",""))))&amp;IF($C271="","Repeat every is missing. ",IF(ISNA(MATCH($C271&amp;"",{"Weekly","Every 2 weeks","Every 3 weeks","Every 4 weeks"},0)),"Repeat every must be Weekly or Every 2, 3 or 4 weeks. ",""))&amp;IF($D271="","Visit length is missing. ",IF(NOT(ISNUMBER($D271)),"Visit length must be a number of hours. ",IF($D271&lt;0,"Visit length can't be negative. ",IF($D271=0,"Visit length must be more than 0. ",IF(ABS($D271*100-ROUND($D271*100,0))&gt;0.000001,"Visit length: use up to 2 decimals. ",IF($D271&gt;24,"Visit length: 24 hours or less. ",""))))))&amp;IF($E271="","",IF(NOT(ISNUMBER($E271)),"Last visit isn't a date (it's text). ",IF($E271&lt;&gt;INT($E271),"Last visit has a time; enter a date only. ",IF(OR($E271&lt;DATE(2000,1,1),$E271&gt;DATE(2099,12,31)),"Last visit must be from 2000 to 2099. ",IF(AND(IF(ISNUMBER($B271),AND($B271=INT($B271),$B271&gt;=DATE(2000,1,1),$B271&lt;=DATE(2099,12,31)),FALSE()),$E271&lt;$B271),"Last visit is before the first visit. ","")))))))</f>
        <v/>
      </c>
      <c r="J271" s="39" t="n">
        <f aca="false">IF($H271="OK",1,0)</f>
        <v>0</v>
      </c>
      <c r="K271" s="40" t="n">
        <f aca="false">IF($J271=1,$B271,0)</f>
        <v>0</v>
      </c>
      <c r="L271" s="39" t="n">
        <f aca="false">IF($J271=1,7*MATCH($C271&amp;"",{"Weekly","Every 2 weeks","Every 3 weeks","Every 4 weeks"},0),7)</f>
        <v>7</v>
      </c>
      <c r="M271" s="40" t="n">
        <f aca="false">IF($J271=1,IF($E271="",2958465,$E271),0)</f>
        <v>0</v>
      </c>
      <c r="N271" s="39" t="n">
        <f aca="false">IF($J271=1,ROUND($D271*100,0),0)</f>
        <v>0</v>
      </c>
      <c r="O271" s="40" t="str">
        <f aca="false">IF($J271&lt;&gt;1,"",IF(AND((WeekMon+WEEKDAY($K271,2)-1)&gt;=$K271,MOD((WeekMon+WEEKDAY($K271,2)-1)-$K271,$L271)=0,(WeekMon+WEEKDAY($K271,2)-1)&lt;=$M271),(WeekMon+WEEKDAY($K271,2)-1),""))</f>
        <v/>
      </c>
      <c r="P271" s="39" t="str">
        <f aca="false">IF($O271="","",($O271-WeekMon)*1000+ROW()-11)</f>
        <v/>
      </c>
    </row>
    <row r="272" customFormat="false" ht="15" hidden="false" customHeight="false" outlineLevel="0" collapsed="false">
      <c r="A272" s="33"/>
      <c r="B272" s="34"/>
      <c r="C272" s="33"/>
      <c r="D272" s="35"/>
      <c r="E272" s="34"/>
      <c r="F272" s="36" t="str">
        <f aca="false">IF(IF(ISNUMBER($B272),AND($B272=INT($B272),$B272&gt;=DATE(2000,1,1),$B272&lt;=DATE(2099,12,31)),FALSE()),CHOOSE(WEEKDAY($B272,2),"Monday","Tuesday","Wednesday","Thursday","Friday","Saturday","Sunday"),"")</f>
        <v/>
      </c>
      <c r="G272" s="36" t="str">
        <f aca="false">IF($J272&lt;&gt;1,"",MAX(0,INT((MIN(WinStart+83,$M272)-MAX($K272,$K272+ROUNDUP((WinStart-$K272)/$L272,0)*$L272))/$L272)+1))</f>
        <v/>
      </c>
      <c r="H272" s="37" t="str">
        <f aca="false">IF(AND($A272="",$B272="",$C272="",$D272="",$E272=""),"",IF($I272="","OK","Check details"))</f>
        <v/>
      </c>
      <c r="I272" s="38" t="str">
        <f aca="false">IF(AND($A272="",$B272="",$C272="",$D272="",$E272=""),"",TRIM(IF(TRIM($A272&amp;"")="","Label is missing. ","")&amp;IF($B272="","First visit is missing. ",IF(NOT(ISNUMBER($B272)),"First visit isn't a date (it's text). ",IF($B272&lt;&gt;INT($B272),"First visit has a time; enter a date only. ",IF(OR($B272&lt;DATE(2000,1,1),$B272&gt;DATE(2099,12,31)),"First visit must be from 2000 to 2099. ",""))))&amp;IF($C272="","Repeat every is missing. ",IF(ISNA(MATCH($C272&amp;"",{"Weekly","Every 2 weeks","Every 3 weeks","Every 4 weeks"},0)),"Repeat every must be Weekly or Every 2, 3 or 4 weeks. ",""))&amp;IF($D272="","Visit length is missing. ",IF(NOT(ISNUMBER($D272)),"Visit length must be a number of hours. ",IF($D272&lt;0,"Visit length can't be negative. ",IF($D272=0,"Visit length must be more than 0. ",IF(ABS($D272*100-ROUND($D272*100,0))&gt;0.000001,"Visit length: use up to 2 decimals. ",IF($D272&gt;24,"Visit length: 24 hours or less. ",""))))))&amp;IF($E272="","",IF(NOT(ISNUMBER($E272)),"Last visit isn't a date (it's text). ",IF($E272&lt;&gt;INT($E272),"Last visit has a time; enter a date only. ",IF(OR($E272&lt;DATE(2000,1,1),$E272&gt;DATE(2099,12,31)),"Last visit must be from 2000 to 2099. ",IF(AND(IF(ISNUMBER($B272),AND($B272=INT($B272),$B272&gt;=DATE(2000,1,1),$B272&lt;=DATE(2099,12,31)),FALSE()),$E272&lt;$B272),"Last visit is before the first visit. ","")))))))</f>
        <v/>
      </c>
      <c r="J272" s="39" t="n">
        <f aca="false">IF($H272="OK",1,0)</f>
        <v>0</v>
      </c>
      <c r="K272" s="40" t="n">
        <f aca="false">IF($J272=1,$B272,0)</f>
        <v>0</v>
      </c>
      <c r="L272" s="39" t="n">
        <f aca="false">IF($J272=1,7*MATCH($C272&amp;"",{"Weekly","Every 2 weeks","Every 3 weeks","Every 4 weeks"},0),7)</f>
        <v>7</v>
      </c>
      <c r="M272" s="40" t="n">
        <f aca="false">IF($J272=1,IF($E272="",2958465,$E272),0)</f>
        <v>0</v>
      </c>
      <c r="N272" s="39" t="n">
        <f aca="false">IF($J272=1,ROUND($D272*100,0),0)</f>
        <v>0</v>
      </c>
      <c r="O272" s="40" t="str">
        <f aca="false">IF($J272&lt;&gt;1,"",IF(AND((WeekMon+WEEKDAY($K272,2)-1)&gt;=$K272,MOD((WeekMon+WEEKDAY($K272,2)-1)-$K272,$L272)=0,(WeekMon+WEEKDAY($K272,2)-1)&lt;=$M272),(WeekMon+WEEKDAY($K272,2)-1),""))</f>
        <v/>
      </c>
      <c r="P272" s="39" t="str">
        <f aca="false">IF($O272="","",($O272-WeekMon)*1000+ROW()-11)</f>
        <v/>
      </c>
    </row>
    <row r="273" customFormat="false" ht="15" hidden="false" customHeight="false" outlineLevel="0" collapsed="false">
      <c r="A273" s="33"/>
      <c r="B273" s="34"/>
      <c r="C273" s="33"/>
      <c r="D273" s="35"/>
      <c r="E273" s="34"/>
      <c r="F273" s="36" t="str">
        <f aca="false">IF(IF(ISNUMBER($B273),AND($B273=INT($B273),$B273&gt;=DATE(2000,1,1),$B273&lt;=DATE(2099,12,31)),FALSE()),CHOOSE(WEEKDAY($B273,2),"Monday","Tuesday","Wednesday","Thursday","Friday","Saturday","Sunday"),"")</f>
        <v/>
      </c>
      <c r="G273" s="36" t="str">
        <f aca="false">IF($J273&lt;&gt;1,"",MAX(0,INT((MIN(WinStart+83,$M273)-MAX($K273,$K273+ROUNDUP((WinStart-$K273)/$L273,0)*$L273))/$L273)+1))</f>
        <v/>
      </c>
      <c r="H273" s="37" t="str">
        <f aca="false">IF(AND($A273="",$B273="",$C273="",$D273="",$E273=""),"",IF($I273="","OK","Check details"))</f>
        <v/>
      </c>
      <c r="I273" s="38" t="str">
        <f aca="false">IF(AND($A273="",$B273="",$C273="",$D273="",$E273=""),"",TRIM(IF(TRIM($A273&amp;"")="","Label is missing. ","")&amp;IF($B273="","First visit is missing. ",IF(NOT(ISNUMBER($B273)),"First visit isn't a date (it's text). ",IF($B273&lt;&gt;INT($B273),"First visit has a time; enter a date only. ",IF(OR($B273&lt;DATE(2000,1,1),$B273&gt;DATE(2099,12,31)),"First visit must be from 2000 to 2099. ",""))))&amp;IF($C273="","Repeat every is missing. ",IF(ISNA(MATCH($C273&amp;"",{"Weekly","Every 2 weeks","Every 3 weeks","Every 4 weeks"},0)),"Repeat every must be Weekly or Every 2, 3 or 4 weeks. ",""))&amp;IF($D273="","Visit length is missing. ",IF(NOT(ISNUMBER($D273)),"Visit length must be a number of hours. ",IF($D273&lt;0,"Visit length can't be negative. ",IF($D273=0,"Visit length must be more than 0. ",IF(ABS($D273*100-ROUND($D273*100,0))&gt;0.000001,"Visit length: use up to 2 decimals. ",IF($D273&gt;24,"Visit length: 24 hours or less. ",""))))))&amp;IF($E273="","",IF(NOT(ISNUMBER($E273)),"Last visit isn't a date (it's text). ",IF($E273&lt;&gt;INT($E273),"Last visit has a time; enter a date only. ",IF(OR($E273&lt;DATE(2000,1,1),$E273&gt;DATE(2099,12,31)),"Last visit must be from 2000 to 2099. ",IF(AND(IF(ISNUMBER($B273),AND($B273=INT($B273),$B273&gt;=DATE(2000,1,1),$B273&lt;=DATE(2099,12,31)),FALSE()),$E273&lt;$B273),"Last visit is before the first visit. ","")))))))</f>
        <v/>
      </c>
      <c r="J273" s="39" t="n">
        <f aca="false">IF($H273="OK",1,0)</f>
        <v>0</v>
      </c>
      <c r="K273" s="40" t="n">
        <f aca="false">IF($J273=1,$B273,0)</f>
        <v>0</v>
      </c>
      <c r="L273" s="39" t="n">
        <f aca="false">IF($J273=1,7*MATCH($C273&amp;"",{"Weekly","Every 2 weeks","Every 3 weeks","Every 4 weeks"},0),7)</f>
        <v>7</v>
      </c>
      <c r="M273" s="40" t="n">
        <f aca="false">IF($J273=1,IF($E273="",2958465,$E273),0)</f>
        <v>0</v>
      </c>
      <c r="N273" s="39" t="n">
        <f aca="false">IF($J273=1,ROUND($D273*100,0),0)</f>
        <v>0</v>
      </c>
      <c r="O273" s="40" t="str">
        <f aca="false">IF($J273&lt;&gt;1,"",IF(AND((WeekMon+WEEKDAY($K273,2)-1)&gt;=$K273,MOD((WeekMon+WEEKDAY($K273,2)-1)-$K273,$L273)=0,(WeekMon+WEEKDAY($K273,2)-1)&lt;=$M273),(WeekMon+WEEKDAY($K273,2)-1),""))</f>
        <v/>
      </c>
      <c r="P273" s="39" t="str">
        <f aca="false">IF($O273="","",($O273-WeekMon)*1000+ROW()-11)</f>
        <v/>
      </c>
    </row>
    <row r="274" customFormat="false" ht="15" hidden="false" customHeight="false" outlineLevel="0" collapsed="false">
      <c r="A274" s="33"/>
      <c r="B274" s="34"/>
      <c r="C274" s="33"/>
      <c r="D274" s="35"/>
      <c r="E274" s="34"/>
      <c r="F274" s="36" t="str">
        <f aca="false">IF(IF(ISNUMBER($B274),AND($B274=INT($B274),$B274&gt;=DATE(2000,1,1),$B274&lt;=DATE(2099,12,31)),FALSE()),CHOOSE(WEEKDAY($B274,2),"Monday","Tuesday","Wednesday","Thursday","Friday","Saturday","Sunday"),"")</f>
        <v/>
      </c>
      <c r="G274" s="36" t="str">
        <f aca="false">IF($J274&lt;&gt;1,"",MAX(0,INT((MIN(WinStart+83,$M274)-MAX($K274,$K274+ROUNDUP((WinStart-$K274)/$L274,0)*$L274))/$L274)+1))</f>
        <v/>
      </c>
      <c r="H274" s="37" t="str">
        <f aca="false">IF(AND($A274="",$B274="",$C274="",$D274="",$E274=""),"",IF($I274="","OK","Check details"))</f>
        <v/>
      </c>
      <c r="I274" s="38" t="str">
        <f aca="false">IF(AND($A274="",$B274="",$C274="",$D274="",$E274=""),"",TRIM(IF(TRIM($A274&amp;"")="","Label is missing. ","")&amp;IF($B274="","First visit is missing. ",IF(NOT(ISNUMBER($B274)),"First visit isn't a date (it's text). ",IF($B274&lt;&gt;INT($B274),"First visit has a time; enter a date only. ",IF(OR($B274&lt;DATE(2000,1,1),$B274&gt;DATE(2099,12,31)),"First visit must be from 2000 to 2099. ",""))))&amp;IF($C274="","Repeat every is missing. ",IF(ISNA(MATCH($C274&amp;"",{"Weekly","Every 2 weeks","Every 3 weeks","Every 4 weeks"},0)),"Repeat every must be Weekly or Every 2, 3 or 4 weeks. ",""))&amp;IF($D274="","Visit length is missing. ",IF(NOT(ISNUMBER($D274)),"Visit length must be a number of hours. ",IF($D274&lt;0,"Visit length can't be negative. ",IF($D274=0,"Visit length must be more than 0. ",IF(ABS($D274*100-ROUND($D274*100,0))&gt;0.000001,"Visit length: use up to 2 decimals. ",IF($D274&gt;24,"Visit length: 24 hours or less. ",""))))))&amp;IF($E274="","",IF(NOT(ISNUMBER($E274)),"Last visit isn't a date (it's text). ",IF($E274&lt;&gt;INT($E274),"Last visit has a time; enter a date only. ",IF(OR($E274&lt;DATE(2000,1,1),$E274&gt;DATE(2099,12,31)),"Last visit must be from 2000 to 2099. ",IF(AND(IF(ISNUMBER($B274),AND($B274=INT($B274),$B274&gt;=DATE(2000,1,1),$B274&lt;=DATE(2099,12,31)),FALSE()),$E274&lt;$B274),"Last visit is before the first visit. ","")))))))</f>
        <v/>
      </c>
      <c r="J274" s="39" t="n">
        <f aca="false">IF($H274="OK",1,0)</f>
        <v>0</v>
      </c>
      <c r="K274" s="40" t="n">
        <f aca="false">IF($J274=1,$B274,0)</f>
        <v>0</v>
      </c>
      <c r="L274" s="39" t="n">
        <f aca="false">IF($J274=1,7*MATCH($C274&amp;"",{"Weekly","Every 2 weeks","Every 3 weeks","Every 4 weeks"},0),7)</f>
        <v>7</v>
      </c>
      <c r="M274" s="40" t="n">
        <f aca="false">IF($J274=1,IF($E274="",2958465,$E274),0)</f>
        <v>0</v>
      </c>
      <c r="N274" s="39" t="n">
        <f aca="false">IF($J274=1,ROUND($D274*100,0),0)</f>
        <v>0</v>
      </c>
      <c r="O274" s="40" t="str">
        <f aca="false">IF($J274&lt;&gt;1,"",IF(AND((WeekMon+WEEKDAY($K274,2)-1)&gt;=$K274,MOD((WeekMon+WEEKDAY($K274,2)-1)-$K274,$L274)=0,(WeekMon+WEEKDAY($K274,2)-1)&lt;=$M274),(WeekMon+WEEKDAY($K274,2)-1),""))</f>
        <v/>
      </c>
      <c r="P274" s="39" t="str">
        <f aca="false">IF($O274="","",($O274-WeekMon)*1000+ROW()-11)</f>
        <v/>
      </c>
    </row>
    <row r="275" customFormat="false" ht="15" hidden="false" customHeight="false" outlineLevel="0" collapsed="false">
      <c r="A275" s="33"/>
      <c r="B275" s="34"/>
      <c r="C275" s="33"/>
      <c r="D275" s="35"/>
      <c r="E275" s="34"/>
      <c r="F275" s="36" t="str">
        <f aca="false">IF(IF(ISNUMBER($B275),AND($B275=INT($B275),$B275&gt;=DATE(2000,1,1),$B275&lt;=DATE(2099,12,31)),FALSE()),CHOOSE(WEEKDAY($B275,2),"Monday","Tuesday","Wednesday","Thursday","Friday","Saturday","Sunday"),"")</f>
        <v/>
      </c>
      <c r="G275" s="36" t="str">
        <f aca="false">IF($J275&lt;&gt;1,"",MAX(0,INT((MIN(WinStart+83,$M275)-MAX($K275,$K275+ROUNDUP((WinStart-$K275)/$L275,0)*$L275))/$L275)+1))</f>
        <v/>
      </c>
      <c r="H275" s="37" t="str">
        <f aca="false">IF(AND($A275="",$B275="",$C275="",$D275="",$E275=""),"",IF($I275="","OK","Check details"))</f>
        <v/>
      </c>
      <c r="I275" s="38" t="str">
        <f aca="false">IF(AND($A275="",$B275="",$C275="",$D275="",$E275=""),"",TRIM(IF(TRIM($A275&amp;"")="","Label is missing. ","")&amp;IF($B275="","First visit is missing. ",IF(NOT(ISNUMBER($B275)),"First visit isn't a date (it's text). ",IF($B275&lt;&gt;INT($B275),"First visit has a time; enter a date only. ",IF(OR($B275&lt;DATE(2000,1,1),$B275&gt;DATE(2099,12,31)),"First visit must be from 2000 to 2099. ",""))))&amp;IF($C275="","Repeat every is missing. ",IF(ISNA(MATCH($C275&amp;"",{"Weekly","Every 2 weeks","Every 3 weeks","Every 4 weeks"},0)),"Repeat every must be Weekly or Every 2, 3 or 4 weeks. ",""))&amp;IF($D275="","Visit length is missing. ",IF(NOT(ISNUMBER($D275)),"Visit length must be a number of hours. ",IF($D275&lt;0,"Visit length can't be negative. ",IF($D275=0,"Visit length must be more than 0. ",IF(ABS($D275*100-ROUND($D275*100,0))&gt;0.000001,"Visit length: use up to 2 decimals. ",IF($D275&gt;24,"Visit length: 24 hours or less. ",""))))))&amp;IF($E275="","",IF(NOT(ISNUMBER($E275)),"Last visit isn't a date (it's text). ",IF($E275&lt;&gt;INT($E275),"Last visit has a time; enter a date only. ",IF(OR($E275&lt;DATE(2000,1,1),$E275&gt;DATE(2099,12,31)),"Last visit must be from 2000 to 2099. ",IF(AND(IF(ISNUMBER($B275),AND($B275=INT($B275),$B275&gt;=DATE(2000,1,1),$B275&lt;=DATE(2099,12,31)),FALSE()),$E275&lt;$B275),"Last visit is before the first visit. ","")))))))</f>
        <v/>
      </c>
      <c r="J275" s="39" t="n">
        <f aca="false">IF($H275="OK",1,0)</f>
        <v>0</v>
      </c>
      <c r="K275" s="40" t="n">
        <f aca="false">IF($J275=1,$B275,0)</f>
        <v>0</v>
      </c>
      <c r="L275" s="39" t="n">
        <f aca="false">IF($J275=1,7*MATCH($C275&amp;"",{"Weekly","Every 2 weeks","Every 3 weeks","Every 4 weeks"},0),7)</f>
        <v>7</v>
      </c>
      <c r="M275" s="40" t="n">
        <f aca="false">IF($J275=1,IF($E275="",2958465,$E275),0)</f>
        <v>0</v>
      </c>
      <c r="N275" s="39" t="n">
        <f aca="false">IF($J275=1,ROUND($D275*100,0),0)</f>
        <v>0</v>
      </c>
      <c r="O275" s="40" t="str">
        <f aca="false">IF($J275&lt;&gt;1,"",IF(AND((WeekMon+WEEKDAY($K275,2)-1)&gt;=$K275,MOD((WeekMon+WEEKDAY($K275,2)-1)-$K275,$L275)=0,(WeekMon+WEEKDAY($K275,2)-1)&lt;=$M275),(WeekMon+WEEKDAY($K275,2)-1),""))</f>
        <v/>
      </c>
      <c r="P275" s="39" t="str">
        <f aca="false">IF($O275="","",($O275-WeekMon)*1000+ROW()-11)</f>
        <v/>
      </c>
    </row>
    <row r="276" customFormat="false" ht="15" hidden="false" customHeight="false" outlineLevel="0" collapsed="false">
      <c r="A276" s="33"/>
      <c r="B276" s="34"/>
      <c r="C276" s="33"/>
      <c r="D276" s="35"/>
      <c r="E276" s="34"/>
      <c r="F276" s="36" t="str">
        <f aca="false">IF(IF(ISNUMBER($B276),AND($B276=INT($B276),$B276&gt;=DATE(2000,1,1),$B276&lt;=DATE(2099,12,31)),FALSE()),CHOOSE(WEEKDAY($B276,2),"Monday","Tuesday","Wednesday","Thursday","Friday","Saturday","Sunday"),"")</f>
        <v/>
      </c>
      <c r="G276" s="36" t="str">
        <f aca="false">IF($J276&lt;&gt;1,"",MAX(0,INT((MIN(WinStart+83,$M276)-MAX($K276,$K276+ROUNDUP((WinStart-$K276)/$L276,0)*$L276))/$L276)+1))</f>
        <v/>
      </c>
      <c r="H276" s="37" t="str">
        <f aca="false">IF(AND($A276="",$B276="",$C276="",$D276="",$E276=""),"",IF($I276="","OK","Check details"))</f>
        <v/>
      </c>
      <c r="I276" s="38" t="str">
        <f aca="false">IF(AND($A276="",$B276="",$C276="",$D276="",$E276=""),"",TRIM(IF(TRIM($A276&amp;"")="","Label is missing. ","")&amp;IF($B276="","First visit is missing. ",IF(NOT(ISNUMBER($B276)),"First visit isn't a date (it's text). ",IF($B276&lt;&gt;INT($B276),"First visit has a time; enter a date only. ",IF(OR($B276&lt;DATE(2000,1,1),$B276&gt;DATE(2099,12,31)),"First visit must be from 2000 to 2099. ",""))))&amp;IF($C276="","Repeat every is missing. ",IF(ISNA(MATCH($C276&amp;"",{"Weekly","Every 2 weeks","Every 3 weeks","Every 4 weeks"},0)),"Repeat every must be Weekly or Every 2, 3 or 4 weeks. ",""))&amp;IF($D276="","Visit length is missing. ",IF(NOT(ISNUMBER($D276)),"Visit length must be a number of hours. ",IF($D276&lt;0,"Visit length can't be negative. ",IF($D276=0,"Visit length must be more than 0. ",IF(ABS($D276*100-ROUND($D276*100,0))&gt;0.000001,"Visit length: use up to 2 decimals. ",IF($D276&gt;24,"Visit length: 24 hours or less. ",""))))))&amp;IF($E276="","",IF(NOT(ISNUMBER($E276)),"Last visit isn't a date (it's text). ",IF($E276&lt;&gt;INT($E276),"Last visit has a time; enter a date only. ",IF(OR($E276&lt;DATE(2000,1,1),$E276&gt;DATE(2099,12,31)),"Last visit must be from 2000 to 2099. ",IF(AND(IF(ISNUMBER($B276),AND($B276=INT($B276),$B276&gt;=DATE(2000,1,1),$B276&lt;=DATE(2099,12,31)),FALSE()),$E276&lt;$B276),"Last visit is before the first visit. ","")))))))</f>
        <v/>
      </c>
      <c r="J276" s="39" t="n">
        <f aca="false">IF($H276="OK",1,0)</f>
        <v>0</v>
      </c>
      <c r="K276" s="40" t="n">
        <f aca="false">IF($J276=1,$B276,0)</f>
        <v>0</v>
      </c>
      <c r="L276" s="39" t="n">
        <f aca="false">IF($J276=1,7*MATCH($C276&amp;"",{"Weekly","Every 2 weeks","Every 3 weeks","Every 4 weeks"},0),7)</f>
        <v>7</v>
      </c>
      <c r="M276" s="40" t="n">
        <f aca="false">IF($J276=1,IF($E276="",2958465,$E276),0)</f>
        <v>0</v>
      </c>
      <c r="N276" s="39" t="n">
        <f aca="false">IF($J276=1,ROUND($D276*100,0),0)</f>
        <v>0</v>
      </c>
      <c r="O276" s="40" t="str">
        <f aca="false">IF($J276&lt;&gt;1,"",IF(AND((WeekMon+WEEKDAY($K276,2)-1)&gt;=$K276,MOD((WeekMon+WEEKDAY($K276,2)-1)-$K276,$L276)=0,(WeekMon+WEEKDAY($K276,2)-1)&lt;=$M276),(WeekMon+WEEKDAY($K276,2)-1),""))</f>
        <v/>
      </c>
      <c r="P276" s="39" t="str">
        <f aca="false">IF($O276="","",($O276-WeekMon)*1000+ROW()-11)</f>
        <v/>
      </c>
    </row>
    <row r="277" customFormat="false" ht="15" hidden="false" customHeight="false" outlineLevel="0" collapsed="false">
      <c r="A277" s="33"/>
      <c r="B277" s="34"/>
      <c r="C277" s="33"/>
      <c r="D277" s="35"/>
      <c r="E277" s="34"/>
      <c r="F277" s="36" t="str">
        <f aca="false">IF(IF(ISNUMBER($B277),AND($B277=INT($B277),$B277&gt;=DATE(2000,1,1),$B277&lt;=DATE(2099,12,31)),FALSE()),CHOOSE(WEEKDAY($B277,2),"Monday","Tuesday","Wednesday","Thursday","Friday","Saturday","Sunday"),"")</f>
        <v/>
      </c>
      <c r="G277" s="36" t="str">
        <f aca="false">IF($J277&lt;&gt;1,"",MAX(0,INT((MIN(WinStart+83,$M277)-MAX($K277,$K277+ROUNDUP((WinStart-$K277)/$L277,0)*$L277))/$L277)+1))</f>
        <v/>
      </c>
      <c r="H277" s="37" t="str">
        <f aca="false">IF(AND($A277="",$B277="",$C277="",$D277="",$E277=""),"",IF($I277="","OK","Check details"))</f>
        <v/>
      </c>
      <c r="I277" s="38" t="str">
        <f aca="false">IF(AND($A277="",$B277="",$C277="",$D277="",$E277=""),"",TRIM(IF(TRIM($A277&amp;"")="","Label is missing. ","")&amp;IF($B277="","First visit is missing. ",IF(NOT(ISNUMBER($B277)),"First visit isn't a date (it's text). ",IF($B277&lt;&gt;INT($B277),"First visit has a time; enter a date only. ",IF(OR($B277&lt;DATE(2000,1,1),$B277&gt;DATE(2099,12,31)),"First visit must be from 2000 to 2099. ",""))))&amp;IF($C277="","Repeat every is missing. ",IF(ISNA(MATCH($C277&amp;"",{"Weekly","Every 2 weeks","Every 3 weeks","Every 4 weeks"},0)),"Repeat every must be Weekly or Every 2, 3 or 4 weeks. ",""))&amp;IF($D277="","Visit length is missing. ",IF(NOT(ISNUMBER($D277)),"Visit length must be a number of hours. ",IF($D277&lt;0,"Visit length can't be negative. ",IF($D277=0,"Visit length must be more than 0. ",IF(ABS($D277*100-ROUND($D277*100,0))&gt;0.000001,"Visit length: use up to 2 decimals. ",IF($D277&gt;24,"Visit length: 24 hours or less. ",""))))))&amp;IF($E277="","",IF(NOT(ISNUMBER($E277)),"Last visit isn't a date (it's text). ",IF($E277&lt;&gt;INT($E277),"Last visit has a time; enter a date only. ",IF(OR($E277&lt;DATE(2000,1,1),$E277&gt;DATE(2099,12,31)),"Last visit must be from 2000 to 2099. ",IF(AND(IF(ISNUMBER($B277),AND($B277=INT($B277),$B277&gt;=DATE(2000,1,1),$B277&lt;=DATE(2099,12,31)),FALSE()),$E277&lt;$B277),"Last visit is before the first visit. ","")))))))</f>
        <v/>
      </c>
      <c r="J277" s="39" t="n">
        <f aca="false">IF($H277="OK",1,0)</f>
        <v>0</v>
      </c>
      <c r="K277" s="40" t="n">
        <f aca="false">IF($J277=1,$B277,0)</f>
        <v>0</v>
      </c>
      <c r="L277" s="39" t="n">
        <f aca="false">IF($J277=1,7*MATCH($C277&amp;"",{"Weekly","Every 2 weeks","Every 3 weeks","Every 4 weeks"},0),7)</f>
        <v>7</v>
      </c>
      <c r="M277" s="40" t="n">
        <f aca="false">IF($J277=1,IF($E277="",2958465,$E277),0)</f>
        <v>0</v>
      </c>
      <c r="N277" s="39" t="n">
        <f aca="false">IF($J277=1,ROUND($D277*100,0),0)</f>
        <v>0</v>
      </c>
      <c r="O277" s="40" t="str">
        <f aca="false">IF($J277&lt;&gt;1,"",IF(AND((WeekMon+WEEKDAY($K277,2)-1)&gt;=$K277,MOD((WeekMon+WEEKDAY($K277,2)-1)-$K277,$L277)=0,(WeekMon+WEEKDAY($K277,2)-1)&lt;=$M277),(WeekMon+WEEKDAY($K277,2)-1),""))</f>
        <v/>
      </c>
      <c r="P277" s="39" t="str">
        <f aca="false">IF($O277="","",($O277-WeekMon)*1000+ROW()-11)</f>
        <v/>
      </c>
    </row>
    <row r="278" customFormat="false" ht="15" hidden="false" customHeight="false" outlineLevel="0" collapsed="false">
      <c r="A278" s="33"/>
      <c r="B278" s="34"/>
      <c r="C278" s="33"/>
      <c r="D278" s="35"/>
      <c r="E278" s="34"/>
      <c r="F278" s="36" t="str">
        <f aca="false">IF(IF(ISNUMBER($B278),AND($B278=INT($B278),$B278&gt;=DATE(2000,1,1),$B278&lt;=DATE(2099,12,31)),FALSE()),CHOOSE(WEEKDAY($B278,2),"Monday","Tuesday","Wednesday","Thursday","Friday","Saturday","Sunday"),"")</f>
        <v/>
      </c>
      <c r="G278" s="36" t="str">
        <f aca="false">IF($J278&lt;&gt;1,"",MAX(0,INT((MIN(WinStart+83,$M278)-MAX($K278,$K278+ROUNDUP((WinStart-$K278)/$L278,0)*$L278))/$L278)+1))</f>
        <v/>
      </c>
      <c r="H278" s="37" t="str">
        <f aca="false">IF(AND($A278="",$B278="",$C278="",$D278="",$E278=""),"",IF($I278="","OK","Check details"))</f>
        <v/>
      </c>
      <c r="I278" s="38" t="str">
        <f aca="false">IF(AND($A278="",$B278="",$C278="",$D278="",$E278=""),"",TRIM(IF(TRIM($A278&amp;"")="","Label is missing. ","")&amp;IF($B278="","First visit is missing. ",IF(NOT(ISNUMBER($B278)),"First visit isn't a date (it's text). ",IF($B278&lt;&gt;INT($B278),"First visit has a time; enter a date only. ",IF(OR($B278&lt;DATE(2000,1,1),$B278&gt;DATE(2099,12,31)),"First visit must be from 2000 to 2099. ",""))))&amp;IF($C278="","Repeat every is missing. ",IF(ISNA(MATCH($C278&amp;"",{"Weekly","Every 2 weeks","Every 3 weeks","Every 4 weeks"},0)),"Repeat every must be Weekly or Every 2, 3 or 4 weeks. ",""))&amp;IF($D278="","Visit length is missing. ",IF(NOT(ISNUMBER($D278)),"Visit length must be a number of hours. ",IF($D278&lt;0,"Visit length can't be negative. ",IF($D278=0,"Visit length must be more than 0. ",IF(ABS($D278*100-ROUND($D278*100,0))&gt;0.000001,"Visit length: use up to 2 decimals. ",IF($D278&gt;24,"Visit length: 24 hours or less. ",""))))))&amp;IF($E278="","",IF(NOT(ISNUMBER($E278)),"Last visit isn't a date (it's text). ",IF($E278&lt;&gt;INT($E278),"Last visit has a time; enter a date only. ",IF(OR($E278&lt;DATE(2000,1,1),$E278&gt;DATE(2099,12,31)),"Last visit must be from 2000 to 2099. ",IF(AND(IF(ISNUMBER($B278),AND($B278=INT($B278),$B278&gt;=DATE(2000,1,1),$B278&lt;=DATE(2099,12,31)),FALSE()),$E278&lt;$B278),"Last visit is before the first visit. ","")))))))</f>
        <v/>
      </c>
      <c r="J278" s="39" t="n">
        <f aca="false">IF($H278="OK",1,0)</f>
        <v>0</v>
      </c>
      <c r="K278" s="40" t="n">
        <f aca="false">IF($J278=1,$B278,0)</f>
        <v>0</v>
      </c>
      <c r="L278" s="39" t="n">
        <f aca="false">IF($J278=1,7*MATCH($C278&amp;"",{"Weekly","Every 2 weeks","Every 3 weeks","Every 4 weeks"},0),7)</f>
        <v>7</v>
      </c>
      <c r="M278" s="40" t="n">
        <f aca="false">IF($J278=1,IF($E278="",2958465,$E278),0)</f>
        <v>0</v>
      </c>
      <c r="N278" s="39" t="n">
        <f aca="false">IF($J278=1,ROUND($D278*100,0),0)</f>
        <v>0</v>
      </c>
      <c r="O278" s="40" t="str">
        <f aca="false">IF($J278&lt;&gt;1,"",IF(AND((WeekMon+WEEKDAY($K278,2)-1)&gt;=$K278,MOD((WeekMon+WEEKDAY($K278,2)-1)-$K278,$L278)=0,(WeekMon+WEEKDAY($K278,2)-1)&lt;=$M278),(WeekMon+WEEKDAY($K278,2)-1),""))</f>
        <v/>
      </c>
      <c r="P278" s="39" t="str">
        <f aca="false">IF($O278="","",($O278-WeekMon)*1000+ROW()-11)</f>
        <v/>
      </c>
    </row>
    <row r="279" customFormat="false" ht="15" hidden="false" customHeight="false" outlineLevel="0" collapsed="false">
      <c r="A279" s="33"/>
      <c r="B279" s="34"/>
      <c r="C279" s="33"/>
      <c r="D279" s="35"/>
      <c r="E279" s="34"/>
      <c r="F279" s="36" t="str">
        <f aca="false">IF(IF(ISNUMBER($B279),AND($B279=INT($B279),$B279&gt;=DATE(2000,1,1),$B279&lt;=DATE(2099,12,31)),FALSE()),CHOOSE(WEEKDAY($B279,2),"Monday","Tuesday","Wednesday","Thursday","Friday","Saturday","Sunday"),"")</f>
        <v/>
      </c>
      <c r="G279" s="36" t="str">
        <f aca="false">IF($J279&lt;&gt;1,"",MAX(0,INT((MIN(WinStart+83,$M279)-MAX($K279,$K279+ROUNDUP((WinStart-$K279)/$L279,0)*$L279))/$L279)+1))</f>
        <v/>
      </c>
      <c r="H279" s="37" t="str">
        <f aca="false">IF(AND($A279="",$B279="",$C279="",$D279="",$E279=""),"",IF($I279="","OK","Check details"))</f>
        <v/>
      </c>
      <c r="I279" s="38" t="str">
        <f aca="false">IF(AND($A279="",$B279="",$C279="",$D279="",$E279=""),"",TRIM(IF(TRIM($A279&amp;"")="","Label is missing. ","")&amp;IF($B279="","First visit is missing. ",IF(NOT(ISNUMBER($B279)),"First visit isn't a date (it's text). ",IF($B279&lt;&gt;INT($B279),"First visit has a time; enter a date only. ",IF(OR($B279&lt;DATE(2000,1,1),$B279&gt;DATE(2099,12,31)),"First visit must be from 2000 to 2099. ",""))))&amp;IF($C279="","Repeat every is missing. ",IF(ISNA(MATCH($C279&amp;"",{"Weekly","Every 2 weeks","Every 3 weeks","Every 4 weeks"},0)),"Repeat every must be Weekly or Every 2, 3 or 4 weeks. ",""))&amp;IF($D279="","Visit length is missing. ",IF(NOT(ISNUMBER($D279)),"Visit length must be a number of hours. ",IF($D279&lt;0,"Visit length can't be negative. ",IF($D279=0,"Visit length must be more than 0. ",IF(ABS($D279*100-ROUND($D279*100,0))&gt;0.000001,"Visit length: use up to 2 decimals. ",IF($D279&gt;24,"Visit length: 24 hours or less. ",""))))))&amp;IF($E279="","",IF(NOT(ISNUMBER($E279)),"Last visit isn't a date (it's text). ",IF($E279&lt;&gt;INT($E279),"Last visit has a time; enter a date only. ",IF(OR($E279&lt;DATE(2000,1,1),$E279&gt;DATE(2099,12,31)),"Last visit must be from 2000 to 2099. ",IF(AND(IF(ISNUMBER($B279),AND($B279=INT($B279),$B279&gt;=DATE(2000,1,1),$B279&lt;=DATE(2099,12,31)),FALSE()),$E279&lt;$B279),"Last visit is before the first visit. ","")))))))</f>
        <v/>
      </c>
      <c r="J279" s="39" t="n">
        <f aca="false">IF($H279="OK",1,0)</f>
        <v>0</v>
      </c>
      <c r="K279" s="40" t="n">
        <f aca="false">IF($J279=1,$B279,0)</f>
        <v>0</v>
      </c>
      <c r="L279" s="39" t="n">
        <f aca="false">IF($J279=1,7*MATCH($C279&amp;"",{"Weekly","Every 2 weeks","Every 3 weeks","Every 4 weeks"},0),7)</f>
        <v>7</v>
      </c>
      <c r="M279" s="40" t="n">
        <f aca="false">IF($J279=1,IF($E279="",2958465,$E279),0)</f>
        <v>0</v>
      </c>
      <c r="N279" s="39" t="n">
        <f aca="false">IF($J279=1,ROUND($D279*100,0),0)</f>
        <v>0</v>
      </c>
      <c r="O279" s="40" t="str">
        <f aca="false">IF($J279&lt;&gt;1,"",IF(AND((WeekMon+WEEKDAY($K279,2)-1)&gt;=$K279,MOD((WeekMon+WEEKDAY($K279,2)-1)-$K279,$L279)=0,(WeekMon+WEEKDAY($K279,2)-1)&lt;=$M279),(WeekMon+WEEKDAY($K279,2)-1),""))</f>
        <v/>
      </c>
      <c r="P279" s="39" t="str">
        <f aca="false">IF($O279="","",($O279-WeekMon)*1000+ROW()-11)</f>
        <v/>
      </c>
    </row>
    <row r="280" customFormat="false" ht="15" hidden="false" customHeight="false" outlineLevel="0" collapsed="false">
      <c r="A280" s="33"/>
      <c r="B280" s="34"/>
      <c r="C280" s="33"/>
      <c r="D280" s="35"/>
      <c r="E280" s="34"/>
      <c r="F280" s="36" t="str">
        <f aca="false">IF(IF(ISNUMBER($B280),AND($B280=INT($B280),$B280&gt;=DATE(2000,1,1),$B280&lt;=DATE(2099,12,31)),FALSE()),CHOOSE(WEEKDAY($B280,2),"Monday","Tuesday","Wednesday","Thursday","Friday","Saturday","Sunday"),"")</f>
        <v/>
      </c>
      <c r="G280" s="36" t="str">
        <f aca="false">IF($J280&lt;&gt;1,"",MAX(0,INT((MIN(WinStart+83,$M280)-MAX($K280,$K280+ROUNDUP((WinStart-$K280)/$L280,0)*$L280))/$L280)+1))</f>
        <v/>
      </c>
      <c r="H280" s="37" t="str">
        <f aca="false">IF(AND($A280="",$B280="",$C280="",$D280="",$E280=""),"",IF($I280="","OK","Check details"))</f>
        <v/>
      </c>
      <c r="I280" s="38" t="str">
        <f aca="false">IF(AND($A280="",$B280="",$C280="",$D280="",$E280=""),"",TRIM(IF(TRIM($A280&amp;"")="","Label is missing. ","")&amp;IF($B280="","First visit is missing. ",IF(NOT(ISNUMBER($B280)),"First visit isn't a date (it's text). ",IF($B280&lt;&gt;INT($B280),"First visit has a time; enter a date only. ",IF(OR($B280&lt;DATE(2000,1,1),$B280&gt;DATE(2099,12,31)),"First visit must be from 2000 to 2099. ",""))))&amp;IF($C280="","Repeat every is missing. ",IF(ISNA(MATCH($C280&amp;"",{"Weekly","Every 2 weeks","Every 3 weeks","Every 4 weeks"},0)),"Repeat every must be Weekly or Every 2, 3 or 4 weeks. ",""))&amp;IF($D280="","Visit length is missing. ",IF(NOT(ISNUMBER($D280)),"Visit length must be a number of hours. ",IF($D280&lt;0,"Visit length can't be negative. ",IF($D280=0,"Visit length must be more than 0. ",IF(ABS($D280*100-ROUND($D280*100,0))&gt;0.000001,"Visit length: use up to 2 decimals. ",IF($D280&gt;24,"Visit length: 24 hours or less. ",""))))))&amp;IF($E280="","",IF(NOT(ISNUMBER($E280)),"Last visit isn't a date (it's text). ",IF($E280&lt;&gt;INT($E280),"Last visit has a time; enter a date only. ",IF(OR($E280&lt;DATE(2000,1,1),$E280&gt;DATE(2099,12,31)),"Last visit must be from 2000 to 2099. ",IF(AND(IF(ISNUMBER($B280),AND($B280=INT($B280),$B280&gt;=DATE(2000,1,1),$B280&lt;=DATE(2099,12,31)),FALSE()),$E280&lt;$B280),"Last visit is before the first visit. ","")))))))</f>
        <v/>
      </c>
      <c r="J280" s="39" t="n">
        <f aca="false">IF($H280="OK",1,0)</f>
        <v>0</v>
      </c>
      <c r="K280" s="40" t="n">
        <f aca="false">IF($J280=1,$B280,0)</f>
        <v>0</v>
      </c>
      <c r="L280" s="39" t="n">
        <f aca="false">IF($J280=1,7*MATCH($C280&amp;"",{"Weekly","Every 2 weeks","Every 3 weeks","Every 4 weeks"},0),7)</f>
        <v>7</v>
      </c>
      <c r="M280" s="40" t="n">
        <f aca="false">IF($J280=1,IF($E280="",2958465,$E280),0)</f>
        <v>0</v>
      </c>
      <c r="N280" s="39" t="n">
        <f aca="false">IF($J280=1,ROUND($D280*100,0),0)</f>
        <v>0</v>
      </c>
      <c r="O280" s="40" t="str">
        <f aca="false">IF($J280&lt;&gt;1,"",IF(AND((WeekMon+WEEKDAY($K280,2)-1)&gt;=$K280,MOD((WeekMon+WEEKDAY($K280,2)-1)-$K280,$L280)=0,(WeekMon+WEEKDAY($K280,2)-1)&lt;=$M280),(WeekMon+WEEKDAY($K280,2)-1),""))</f>
        <v/>
      </c>
      <c r="P280" s="39" t="str">
        <f aca="false">IF($O280="","",($O280-WeekMon)*1000+ROW()-11)</f>
        <v/>
      </c>
    </row>
    <row r="281" customFormat="false" ht="15" hidden="false" customHeight="false" outlineLevel="0" collapsed="false">
      <c r="A281" s="33"/>
      <c r="B281" s="34"/>
      <c r="C281" s="33"/>
      <c r="D281" s="35"/>
      <c r="E281" s="34"/>
      <c r="F281" s="36" t="str">
        <f aca="false">IF(IF(ISNUMBER($B281),AND($B281=INT($B281),$B281&gt;=DATE(2000,1,1),$B281&lt;=DATE(2099,12,31)),FALSE()),CHOOSE(WEEKDAY($B281,2),"Monday","Tuesday","Wednesday","Thursday","Friday","Saturday","Sunday"),"")</f>
        <v/>
      </c>
      <c r="G281" s="36" t="str">
        <f aca="false">IF($J281&lt;&gt;1,"",MAX(0,INT((MIN(WinStart+83,$M281)-MAX($K281,$K281+ROUNDUP((WinStart-$K281)/$L281,0)*$L281))/$L281)+1))</f>
        <v/>
      </c>
      <c r="H281" s="37" t="str">
        <f aca="false">IF(AND($A281="",$B281="",$C281="",$D281="",$E281=""),"",IF($I281="","OK","Check details"))</f>
        <v/>
      </c>
      <c r="I281" s="38" t="str">
        <f aca="false">IF(AND($A281="",$B281="",$C281="",$D281="",$E281=""),"",TRIM(IF(TRIM($A281&amp;"")="","Label is missing. ","")&amp;IF($B281="","First visit is missing. ",IF(NOT(ISNUMBER($B281)),"First visit isn't a date (it's text). ",IF($B281&lt;&gt;INT($B281),"First visit has a time; enter a date only. ",IF(OR($B281&lt;DATE(2000,1,1),$B281&gt;DATE(2099,12,31)),"First visit must be from 2000 to 2099. ",""))))&amp;IF($C281="","Repeat every is missing. ",IF(ISNA(MATCH($C281&amp;"",{"Weekly","Every 2 weeks","Every 3 weeks","Every 4 weeks"},0)),"Repeat every must be Weekly or Every 2, 3 or 4 weeks. ",""))&amp;IF($D281="","Visit length is missing. ",IF(NOT(ISNUMBER($D281)),"Visit length must be a number of hours. ",IF($D281&lt;0,"Visit length can't be negative. ",IF($D281=0,"Visit length must be more than 0. ",IF(ABS($D281*100-ROUND($D281*100,0))&gt;0.000001,"Visit length: use up to 2 decimals. ",IF($D281&gt;24,"Visit length: 24 hours or less. ",""))))))&amp;IF($E281="","",IF(NOT(ISNUMBER($E281)),"Last visit isn't a date (it's text). ",IF($E281&lt;&gt;INT($E281),"Last visit has a time; enter a date only. ",IF(OR($E281&lt;DATE(2000,1,1),$E281&gt;DATE(2099,12,31)),"Last visit must be from 2000 to 2099. ",IF(AND(IF(ISNUMBER($B281),AND($B281=INT($B281),$B281&gt;=DATE(2000,1,1),$B281&lt;=DATE(2099,12,31)),FALSE()),$E281&lt;$B281),"Last visit is before the first visit. ","")))))))</f>
        <v/>
      </c>
      <c r="J281" s="39" t="n">
        <f aca="false">IF($H281="OK",1,0)</f>
        <v>0</v>
      </c>
      <c r="K281" s="40" t="n">
        <f aca="false">IF($J281=1,$B281,0)</f>
        <v>0</v>
      </c>
      <c r="L281" s="39" t="n">
        <f aca="false">IF($J281=1,7*MATCH($C281&amp;"",{"Weekly","Every 2 weeks","Every 3 weeks","Every 4 weeks"},0),7)</f>
        <v>7</v>
      </c>
      <c r="M281" s="40" t="n">
        <f aca="false">IF($J281=1,IF($E281="",2958465,$E281),0)</f>
        <v>0</v>
      </c>
      <c r="N281" s="39" t="n">
        <f aca="false">IF($J281=1,ROUND($D281*100,0),0)</f>
        <v>0</v>
      </c>
      <c r="O281" s="40" t="str">
        <f aca="false">IF($J281&lt;&gt;1,"",IF(AND((WeekMon+WEEKDAY($K281,2)-1)&gt;=$K281,MOD((WeekMon+WEEKDAY($K281,2)-1)-$K281,$L281)=0,(WeekMon+WEEKDAY($K281,2)-1)&lt;=$M281),(WeekMon+WEEKDAY($K281,2)-1),""))</f>
        <v/>
      </c>
      <c r="P281" s="39" t="str">
        <f aca="false">IF($O281="","",($O281-WeekMon)*1000+ROW()-11)</f>
        <v/>
      </c>
    </row>
    <row r="282" customFormat="false" ht="15" hidden="false" customHeight="false" outlineLevel="0" collapsed="false">
      <c r="A282" s="33"/>
      <c r="B282" s="34"/>
      <c r="C282" s="33"/>
      <c r="D282" s="35"/>
      <c r="E282" s="34"/>
      <c r="F282" s="36" t="str">
        <f aca="false">IF(IF(ISNUMBER($B282),AND($B282=INT($B282),$B282&gt;=DATE(2000,1,1),$B282&lt;=DATE(2099,12,31)),FALSE()),CHOOSE(WEEKDAY($B282,2),"Monday","Tuesday","Wednesday","Thursday","Friday","Saturday","Sunday"),"")</f>
        <v/>
      </c>
      <c r="G282" s="36" t="str">
        <f aca="false">IF($J282&lt;&gt;1,"",MAX(0,INT((MIN(WinStart+83,$M282)-MAX($K282,$K282+ROUNDUP((WinStart-$K282)/$L282,0)*$L282))/$L282)+1))</f>
        <v/>
      </c>
      <c r="H282" s="37" t="str">
        <f aca="false">IF(AND($A282="",$B282="",$C282="",$D282="",$E282=""),"",IF($I282="","OK","Check details"))</f>
        <v/>
      </c>
      <c r="I282" s="38" t="str">
        <f aca="false">IF(AND($A282="",$B282="",$C282="",$D282="",$E282=""),"",TRIM(IF(TRIM($A282&amp;"")="","Label is missing. ","")&amp;IF($B282="","First visit is missing. ",IF(NOT(ISNUMBER($B282)),"First visit isn't a date (it's text). ",IF($B282&lt;&gt;INT($B282),"First visit has a time; enter a date only. ",IF(OR($B282&lt;DATE(2000,1,1),$B282&gt;DATE(2099,12,31)),"First visit must be from 2000 to 2099. ",""))))&amp;IF($C282="","Repeat every is missing. ",IF(ISNA(MATCH($C282&amp;"",{"Weekly","Every 2 weeks","Every 3 weeks","Every 4 weeks"},0)),"Repeat every must be Weekly or Every 2, 3 or 4 weeks. ",""))&amp;IF($D282="","Visit length is missing. ",IF(NOT(ISNUMBER($D282)),"Visit length must be a number of hours. ",IF($D282&lt;0,"Visit length can't be negative. ",IF($D282=0,"Visit length must be more than 0. ",IF(ABS($D282*100-ROUND($D282*100,0))&gt;0.000001,"Visit length: use up to 2 decimals. ",IF($D282&gt;24,"Visit length: 24 hours or less. ",""))))))&amp;IF($E282="","",IF(NOT(ISNUMBER($E282)),"Last visit isn't a date (it's text). ",IF($E282&lt;&gt;INT($E282),"Last visit has a time; enter a date only. ",IF(OR($E282&lt;DATE(2000,1,1),$E282&gt;DATE(2099,12,31)),"Last visit must be from 2000 to 2099. ",IF(AND(IF(ISNUMBER($B282),AND($B282=INT($B282),$B282&gt;=DATE(2000,1,1),$B282&lt;=DATE(2099,12,31)),FALSE()),$E282&lt;$B282),"Last visit is before the first visit. ","")))))))</f>
        <v/>
      </c>
      <c r="J282" s="39" t="n">
        <f aca="false">IF($H282="OK",1,0)</f>
        <v>0</v>
      </c>
      <c r="K282" s="40" t="n">
        <f aca="false">IF($J282=1,$B282,0)</f>
        <v>0</v>
      </c>
      <c r="L282" s="39" t="n">
        <f aca="false">IF($J282=1,7*MATCH($C282&amp;"",{"Weekly","Every 2 weeks","Every 3 weeks","Every 4 weeks"},0),7)</f>
        <v>7</v>
      </c>
      <c r="M282" s="40" t="n">
        <f aca="false">IF($J282=1,IF($E282="",2958465,$E282),0)</f>
        <v>0</v>
      </c>
      <c r="N282" s="39" t="n">
        <f aca="false">IF($J282=1,ROUND($D282*100,0),0)</f>
        <v>0</v>
      </c>
      <c r="O282" s="40" t="str">
        <f aca="false">IF($J282&lt;&gt;1,"",IF(AND((WeekMon+WEEKDAY($K282,2)-1)&gt;=$K282,MOD((WeekMon+WEEKDAY($K282,2)-1)-$K282,$L282)=0,(WeekMon+WEEKDAY($K282,2)-1)&lt;=$M282),(WeekMon+WEEKDAY($K282,2)-1),""))</f>
        <v/>
      </c>
      <c r="P282" s="39" t="str">
        <f aca="false">IF($O282="","",($O282-WeekMon)*1000+ROW()-11)</f>
        <v/>
      </c>
    </row>
    <row r="283" customFormat="false" ht="15" hidden="false" customHeight="false" outlineLevel="0" collapsed="false">
      <c r="A283" s="33"/>
      <c r="B283" s="34"/>
      <c r="C283" s="33"/>
      <c r="D283" s="35"/>
      <c r="E283" s="34"/>
      <c r="F283" s="36" t="str">
        <f aca="false">IF(IF(ISNUMBER($B283),AND($B283=INT($B283),$B283&gt;=DATE(2000,1,1),$B283&lt;=DATE(2099,12,31)),FALSE()),CHOOSE(WEEKDAY($B283,2),"Monday","Tuesday","Wednesday","Thursday","Friday","Saturday","Sunday"),"")</f>
        <v/>
      </c>
      <c r="G283" s="36" t="str">
        <f aca="false">IF($J283&lt;&gt;1,"",MAX(0,INT((MIN(WinStart+83,$M283)-MAX($K283,$K283+ROUNDUP((WinStart-$K283)/$L283,0)*$L283))/$L283)+1))</f>
        <v/>
      </c>
      <c r="H283" s="37" t="str">
        <f aca="false">IF(AND($A283="",$B283="",$C283="",$D283="",$E283=""),"",IF($I283="","OK","Check details"))</f>
        <v/>
      </c>
      <c r="I283" s="38" t="str">
        <f aca="false">IF(AND($A283="",$B283="",$C283="",$D283="",$E283=""),"",TRIM(IF(TRIM($A283&amp;"")="","Label is missing. ","")&amp;IF($B283="","First visit is missing. ",IF(NOT(ISNUMBER($B283)),"First visit isn't a date (it's text). ",IF($B283&lt;&gt;INT($B283),"First visit has a time; enter a date only. ",IF(OR($B283&lt;DATE(2000,1,1),$B283&gt;DATE(2099,12,31)),"First visit must be from 2000 to 2099. ",""))))&amp;IF($C283="","Repeat every is missing. ",IF(ISNA(MATCH($C283&amp;"",{"Weekly","Every 2 weeks","Every 3 weeks","Every 4 weeks"},0)),"Repeat every must be Weekly or Every 2, 3 or 4 weeks. ",""))&amp;IF($D283="","Visit length is missing. ",IF(NOT(ISNUMBER($D283)),"Visit length must be a number of hours. ",IF($D283&lt;0,"Visit length can't be negative. ",IF($D283=0,"Visit length must be more than 0. ",IF(ABS($D283*100-ROUND($D283*100,0))&gt;0.000001,"Visit length: use up to 2 decimals. ",IF($D283&gt;24,"Visit length: 24 hours or less. ",""))))))&amp;IF($E283="","",IF(NOT(ISNUMBER($E283)),"Last visit isn't a date (it's text). ",IF($E283&lt;&gt;INT($E283),"Last visit has a time; enter a date only. ",IF(OR($E283&lt;DATE(2000,1,1),$E283&gt;DATE(2099,12,31)),"Last visit must be from 2000 to 2099. ",IF(AND(IF(ISNUMBER($B283),AND($B283=INT($B283),$B283&gt;=DATE(2000,1,1),$B283&lt;=DATE(2099,12,31)),FALSE()),$E283&lt;$B283),"Last visit is before the first visit. ","")))))))</f>
        <v/>
      </c>
      <c r="J283" s="39" t="n">
        <f aca="false">IF($H283="OK",1,0)</f>
        <v>0</v>
      </c>
      <c r="K283" s="40" t="n">
        <f aca="false">IF($J283=1,$B283,0)</f>
        <v>0</v>
      </c>
      <c r="L283" s="39" t="n">
        <f aca="false">IF($J283=1,7*MATCH($C283&amp;"",{"Weekly","Every 2 weeks","Every 3 weeks","Every 4 weeks"},0),7)</f>
        <v>7</v>
      </c>
      <c r="M283" s="40" t="n">
        <f aca="false">IF($J283=1,IF($E283="",2958465,$E283),0)</f>
        <v>0</v>
      </c>
      <c r="N283" s="39" t="n">
        <f aca="false">IF($J283=1,ROUND($D283*100,0),0)</f>
        <v>0</v>
      </c>
      <c r="O283" s="40" t="str">
        <f aca="false">IF($J283&lt;&gt;1,"",IF(AND((WeekMon+WEEKDAY($K283,2)-1)&gt;=$K283,MOD((WeekMon+WEEKDAY($K283,2)-1)-$K283,$L283)=0,(WeekMon+WEEKDAY($K283,2)-1)&lt;=$M283),(WeekMon+WEEKDAY($K283,2)-1),""))</f>
        <v/>
      </c>
      <c r="P283" s="39" t="str">
        <f aca="false">IF($O283="","",($O283-WeekMon)*1000+ROW()-11)</f>
        <v/>
      </c>
    </row>
    <row r="284" customFormat="false" ht="15" hidden="false" customHeight="false" outlineLevel="0" collapsed="false">
      <c r="A284" s="33"/>
      <c r="B284" s="34"/>
      <c r="C284" s="33"/>
      <c r="D284" s="35"/>
      <c r="E284" s="34"/>
      <c r="F284" s="36" t="str">
        <f aca="false">IF(IF(ISNUMBER($B284),AND($B284=INT($B284),$B284&gt;=DATE(2000,1,1),$B284&lt;=DATE(2099,12,31)),FALSE()),CHOOSE(WEEKDAY($B284,2),"Monday","Tuesday","Wednesday","Thursday","Friday","Saturday","Sunday"),"")</f>
        <v/>
      </c>
      <c r="G284" s="36" t="str">
        <f aca="false">IF($J284&lt;&gt;1,"",MAX(0,INT((MIN(WinStart+83,$M284)-MAX($K284,$K284+ROUNDUP((WinStart-$K284)/$L284,0)*$L284))/$L284)+1))</f>
        <v/>
      </c>
      <c r="H284" s="37" t="str">
        <f aca="false">IF(AND($A284="",$B284="",$C284="",$D284="",$E284=""),"",IF($I284="","OK","Check details"))</f>
        <v/>
      </c>
      <c r="I284" s="38" t="str">
        <f aca="false">IF(AND($A284="",$B284="",$C284="",$D284="",$E284=""),"",TRIM(IF(TRIM($A284&amp;"")="","Label is missing. ","")&amp;IF($B284="","First visit is missing. ",IF(NOT(ISNUMBER($B284)),"First visit isn't a date (it's text). ",IF($B284&lt;&gt;INT($B284),"First visit has a time; enter a date only. ",IF(OR($B284&lt;DATE(2000,1,1),$B284&gt;DATE(2099,12,31)),"First visit must be from 2000 to 2099. ",""))))&amp;IF($C284="","Repeat every is missing. ",IF(ISNA(MATCH($C284&amp;"",{"Weekly","Every 2 weeks","Every 3 weeks","Every 4 weeks"},0)),"Repeat every must be Weekly or Every 2, 3 or 4 weeks. ",""))&amp;IF($D284="","Visit length is missing. ",IF(NOT(ISNUMBER($D284)),"Visit length must be a number of hours. ",IF($D284&lt;0,"Visit length can't be negative. ",IF($D284=0,"Visit length must be more than 0. ",IF(ABS($D284*100-ROUND($D284*100,0))&gt;0.000001,"Visit length: use up to 2 decimals. ",IF($D284&gt;24,"Visit length: 24 hours or less. ",""))))))&amp;IF($E284="","",IF(NOT(ISNUMBER($E284)),"Last visit isn't a date (it's text). ",IF($E284&lt;&gt;INT($E284),"Last visit has a time; enter a date only. ",IF(OR($E284&lt;DATE(2000,1,1),$E284&gt;DATE(2099,12,31)),"Last visit must be from 2000 to 2099. ",IF(AND(IF(ISNUMBER($B284),AND($B284=INT($B284),$B284&gt;=DATE(2000,1,1),$B284&lt;=DATE(2099,12,31)),FALSE()),$E284&lt;$B284),"Last visit is before the first visit. ","")))))))</f>
        <v/>
      </c>
      <c r="J284" s="39" t="n">
        <f aca="false">IF($H284="OK",1,0)</f>
        <v>0</v>
      </c>
      <c r="K284" s="40" t="n">
        <f aca="false">IF($J284=1,$B284,0)</f>
        <v>0</v>
      </c>
      <c r="L284" s="39" t="n">
        <f aca="false">IF($J284=1,7*MATCH($C284&amp;"",{"Weekly","Every 2 weeks","Every 3 weeks","Every 4 weeks"},0),7)</f>
        <v>7</v>
      </c>
      <c r="M284" s="40" t="n">
        <f aca="false">IF($J284=1,IF($E284="",2958465,$E284),0)</f>
        <v>0</v>
      </c>
      <c r="N284" s="39" t="n">
        <f aca="false">IF($J284=1,ROUND($D284*100,0),0)</f>
        <v>0</v>
      </c>
      <c r="O284" s="40" t="str">
        <f aca="false">IF($J284&lt;&gt;1,"",IF(AND((WeekMon+WEEKDAY($K284,2)-1)&gt;=$K284,MOD((WeekMon+WEEKDAY($K284,2)-1)-$K284,$L284)=0,(WeekMon+WEEKDAY($K284,2)-1)&lt;=$M284),(WeekMon+WEEKDAY($K284,2)-1),""))</f>
        <v/>
      </c>
      <c r="P284" s="39" t="str">
        <f aca="false">IF($O284="","",($O284-WeekMon)*1000+ROW()-11)</f>
        <v/>
      </c>
    </row>
    <row r="285" customFormat="false" ht="15" hidden="false" customHeight="false" outlineLevel="0" collapsed="false">
      <c r="A285" s="33"/>
      <c r="B285" s="34"/>
      <c r="C285" s="33"/>
      <c r="D285" s="35"/>
      <c r="E285" s="34"/>
      <c r="F285" s="36" t="str">
        <f aca="false">IF(IF(ISNUMBER($B285),AND($B285=INT($B285),$B285&gt;=DATE(2000,1,1),$B285&lt;=DATE(2099,12,31)),FALSE()),CHOOSE(WEEKDAY($B285,2),"Monday","Tuesday","Wednesday","Thursday","Friday","Saturday","Sunday"),"")</f>
        <v/>
      </c>
      <c r="G285" s="36" t="str">
        <f aca="false">IF($J285&lt;&gt;1,"",MAX(0,INT((MIN(WinStart+83,$M285)-MAX($K285,$K285+ROUNDUP((WinStart-$K285)/$L285,0)*$L285))/$L285)+1))</f>
        <v/>
      </c>
      <c r="H285" s="37" t="str">
        <f aca="false">IF(AND($A285="",$B285="",$C285="",$D285="",$E285=""),"",IF($I285="","OK","Check details"))</f>
        <v/>
      </c>
      <c r="I285" s="38" t="str">
        <f aca="false">IF(AND($A285="",$B285="",$C285="",$D285="",$E285=""),"",TRIM(IF(TRIM($A285&amp;"")="","Label is missing. ","")&amp;IF($B285="","First visit is missing. ",IF(NOT(ISNUMBER($B285)),"First visit isn't a date (it's text). ",IF($B285&lt;&gt;INT($B285),"First visit has a time; enter a date only. ",IF(OR($B285&lt;DATE(2000,1,1),$B285&gt;DATE(2099,12,31)),"First visit must be from 2000 to 2099. ",""))))&amp;IF($C285="","Repeat every is missing. ",IF(ISNA(MATCH($C285&amp;"",{"Weekly","Every 2 weeks","Every 3 weeks","Every 4 weeks"},0)),"Repeat every must be Weekly or Every 2, 3 or 4 weeks. ",""))&amp;IF($D285="","Visit length is missing. ",IF(NOT(ISNUMBER($D285)),"Visit length must be a number of hours. ",IF($D285&lt;0,"Visit length can't be negative. ",IF($D285=0,"Visit length must be more than 0. ",IF(ABS($D285*100-ROUND($D285*100,0))&gt;0.000001,"Visit length: use up to 2 decimals. ",IF($D285&gt;24,"Visit length: 24 hours or less. ",""))))))&amp;IF($E285="","",IF(NOT(ISNUMBER($E285)),"Last visit isn't a date (it's text). ",IF($E285&lt;&gt;INT($E285),"Last visit has a time; enter a date only. ",IF(OR($E285&lt;DATE(2000,1,1),$E285&gt;DATE(2099,12,31)),"Last visit must be from 2000 to 2099. ",IF(AND(IF(ISNUMBER($B285),AND($B285=INT($B285),$B285&gt;=DATE(2000,1,1),$B285&lt;=DATE(2099,12,31)),FALSE()),$E285&lt;$B285),"Last visit is before the first visit. ","")))))))</f>
        <v/>
      </c>
      <c r="J285" s="39" t="n">
        <f aca="false">IF($H285="OK",1,0)</f>
        <v>0</v>
      </c>
      <c r="K285" s="40" t="n">
        <f aca="false">IF($J285=1,$B285,0)</f>
        <v>0</v>
      </c>
      <c r="L285" s="39" t="n">
        <f aca="false">IF($J285=1,7*MATCH($C285&amp;"",{"Weekly","Every 2 weeks","Every 3 weeks","Every 4 weeks"},0),7)</f>
        <v>7</v>
      </c>
      <c r="M285" s="40" t="n">
        <f aca="false">IF($J285=1,IF($E285="",2958465,$E285),0)</f>
        <v>0</v>
      </c>
      <c r="N285" s="39" t="n">
        <f aca="false">IF($J285=1,ROUND($D285*100,0),0)</f>
        <v>0</v>
      </c>
      <c r="O285" s="40" t="str">
        <f aca="false">IF($J285&lt;&gt;1,"",IF(AND((WeekMon+WEEKDAY($K285,2)-1)&gt;=$K285,MOD((WeekMon+WEEKDAY($K285,2)-1)-$K285,$L285)=0,(WeekMon+WEEKDAY($K285,2)-1)&lt;=$M285),(WeekMon+WEEKDAY($K285,2)-1),""))</f>
        <v/>
      </c>
      <c r="P285" s="39" t="str">
        <f aca="false">IF($O285="","",($O285-WeekMon)*1000+ROW()-11)</f>
        <v/>
      </c>
    </row>
    <row r="286" customFormat="false" ht="15" hidden="false" customHeight="false" outlineLevel="0" collapsed="false">
      <c r="A286" s="33"/>
      <c r="B286" s="34"/>
      <c r="C286" s="33"/>
      <c r="D286" s="35"/>
      <c r="E286" s="34"/>
      <c r="F286" s="36" t="str">
        <f aca="false">IF(IF(ISNUMBER($B286),AND($B286=INT($B286),$B286&gt;=DATE(2000,1,1),$B286&lt;=DATE(2099,12,31)),FALSE()),CHOOSE(WEEKDAY($B286,2),"Monday","Tuesday","Wednesday","Thursday","Friday","Saturday","Sunday"),"")</f>
        <v/>
      </c>
      <c r="G286" s="36" t="str">
        <f aca="false">IF($J286&lt;&gt;1,"",MAX(0,INT((MIN(WinStart+83,$M286)-MAX($K286,$K286+ROUNDUP((WinStart-$K286)/$L286,0)*$L286))/$L286)+1))</f>
        <v/>
      </c>
      <c r="H286" s="37" t="str">
        <f aca="false">IF(AND($A286="",$B286="",$C286="",$D286="",$E286=""),"",IF($I286="","OK","Check details"))</f>
        <v/>
      </c>
      <c r="I286" s="38" t="str">
        <f aca="false">IF(AND($A286="",$B286="",$C286="",$D286="",$E286=""),"",TRIM(IF(TRIM($A286&amp;"")="","Label is missing. ","")&amp;IF($B286="","First visit is missing. ",IF(NOT(ISNUMBER($B286)),"First visit isn't a date (it's text). ",IF($B286&lt;&gt;INT($B286),"First visit has a time; enter a date only. ",IF(OR($B286&lt;DATE(2000,1,1),$B286&gt;DATE(2099,12,31)),"First visit must be from 2000 to 2099. ",""))))&amp;IF($C286="","Repeat every is missing. ",IF(ISNA(MATCH($C286&amp;"",{"Weekly","Every 2 weeks","Every 3 weeks","Every 4 weeks"},0)),"Repeat every must be Weekly or Every 2, 3 or 4 weeks. ",""))&amp;IF($D286="","Visit length is missing. ",IF(NOT(ISNUMBER($D286)),"Visit length must be a number of hours. ",IF($D286&lt;0,"Visit length can't be negative. ",IF($D286=0,"Visit length must be more than 0. ",IF(ABS($D286*100-ROUND($D286*100,0))&gt;0.000001,"Visit length: use up to 2 decimals. ",IF($D286&gt;24,"Visit length: 24 hours or less. ",""))))))&amp;IF($E286="","",IF(NOT(ISNUMBER($E286)),"Last visit isn't a date (it's text). ",IF($E286&lt;&gt;INT($E286),"Last visit has a time; enter a date only. ",IF(OR($E286&lt;DATE(2000,1,1),$E286&gt;DATE(2099,12,31)),"Last visit must be from 2000 to 2099. ",IF(AND(IF(ISNUMBER($B286),AND($B286=INT($B286),$B286&gt;=DATE(2000,1,1),$B286&lt;=DATE(2099,12,31)),FALSE()),$E286&lt;$B286),"Last visit is before the first visit. ","")))))))</f>
        <v/>
      </c>
      <c r="J286" s="39" t="n">
        <f aca="false">IF($H286="OK",1,0)</f>
        <v>0</v>
      </c>
      <c r="K286" s="40" t="n">
        <f aca="false">IF($J286=1,$B286,0)</f>
        <v>0</v>
      </c>
      <c r="L286" s="39" t="n">
        <f aca="false">IF($J286=1,7*MATCH($C286&amp;"",{"Weekly","Every 2 weeks","Every 3 weeks","Every 4 weeks"},0),7)</f>
        <v>7</v>
      </c>
      <c r="M286" s="40" t="n">
        <f aca="false">IF($J286=1,IF($E286="",2958465,$E286),0)</f>
        <v>0</v>
      </c>
      <c r="N286" s="39" t="n">
        <f aca="false">IF($J286=1,ROUND($D286*100,0),0)</f>
        <v>0</v>
      </c>
      <c r="O286" s="40" t="str">
        <f aca="false">IF($J286&lt;&gt;1,"",IF(AND((WeekMon+WEEKDAY($K286,2)-1)&gt;=$K286,MOD((WeekMon+WEEKDAY($K286,2)-1)-$K286,$L286)=0,(WeekMon+WEEKDAY($K286,2)-1)&lt;=$M286),(WeekMon+WEEKDAY($K286,2)-1),""))</f>
        <v/>
      </c>
      <c r="P286" s="39" t="str">
        <f aca="false">IF($O286="","",($O286-WeekMon)*1000+ROW()-11)</f>
        <v/>
      </c>
    </row>
    <row r="287" customFormat="false" ht="15" hidden="false" customHeight="false" outlineLevel="0" collapsed="false">
      <c r="A287" s="33"/>
      <c r="B287" s="34"/>
      <c r="C287" s="33"/>
      <c r="D287" s="35"/>
      <c r="E287" s="34"/>
      <c r="F287" s="36" t="str">
        <f aca="false">IF(IF(ISNUMBER($B287),AND($B287=INT($B287),$B287&gt;=DATE(2000,1,1),$B287&lt;=DATE(2099,12,31)),FALSE()),CHOOSE(WEEKDAY($B287,2),"Monday","Tuesday","Wednesday","Thursday","Friday","Saturday","Sunday"),"")</f>
        <v/>
      </c>
      <c r="G287" s="36" t="str">
        <f aca="false">IF($J287&lt;&gt;1,"",MAX(0,INT((MIN(WinStart+83,$M287)-MAX($K287,$K287+ROUNDUP((WinStart-$K287)/$L287,0)*$L287))/$L287)+1))</f>
        <v/>
      </c>
      <c r="H287" s="37" t="str">
        <f aca="false">IF(AND($A287="",$B287="",$C287="",$D287="",$E287=""),"",IF($I287="","OK","Check details"))</f>
        <v/>
      </c>
      <c r="I287" s="38" t="str">
        <f aca="false">IF(AND($A287="",$B287="",$C287="",$D287="",$E287=""),"",TRIM(IF(TRIM($A287&amp;"")="","Label is missing. ","")&amp;IF($B287="","First visit is missing. ",IF(NOT(ISNUMBER($B287)),"First visit isn't a date (it's text). ",IF($B287&lt;&gt;INT($B287),"First visit has a time; enter a date only. ",IF(OR($B287&lt;DATE(2000,1,1),$B287&gt;DATE(2099,12,31)),"First visit must be from 2000 to 2099. ",""))))&amp;IF($C287="","Repeat every is missing. ",IF(ISNA(MATCH($C287&amp;"",{"Weekly","Every 2 weeks","Every 3 weeks","Every 4 weeks"},0)),"Repeat every must be Weekly or Every 2, 3 or 4 weeks. ",""))&amp;IF($D287="","Visit length is missing. ",IF(NOT(ISNUMBER($D287)),"Visit length must be a number of hours. ",IF($D287&lt;0,"Visit length can't be negative. ",IF($D287=0,"Visit length must be more than 0. ",IF(ABS($D287*100-ROUND($D287*100,0))&gt;0.000001,"Visit length: use up to 2 decimals. ",IF($D287&gt;24,"Visit length: 24 hours or less. ",""))))))&amp;IF($E287="","",IF(NOT(ISNUMBER($E287)),"Last visit isn't a date (it's text). ",IF($E287&lt;&gt;INT($E287),"Last visit has a time; enter a date only. ",IF(OR($E287&lt;DATE(2000,1,1),$E287&gt;DATE(2099,12,31)),"Last visit must be from 2000 to 2099. ",IF(AND(IF(ISNUMBER($B287),AND($B287=INT($B287),$B287&gt;=DATE(2000,1,1),$B287&lt;=DATE(2099,12,31)),FALSE()),$E287&lt;$B287),"Last visit is before the first visit. ","")))))))</f>
        <v/>
      </c>
      <c r="J287" s="39" t="n">
        <f aca="false">IF($H287="OK",1,0)</f>
        <v>0</v>
      </c>
      <c r="K287" s="40" t="n">
        <f aca="false">IF($J287=1,$B287,0)</f>
        <v>0</v>
      </c>
      <c r="L287" s="39" t="n">
        <f aca="false">IF($J287=1,7*MATCH($C287&amp;"",{"Weekly","Every 2 weeks","Every 3 weeks","Every 4 weeks"},0),7)</f>
        <v>7</v>
      </c>
      <c r="M287" s="40" t="n">
        <f aca="false">IF($J287=1,IF($E287="",2958465,$E287),0)</f>
        <v>0</v>
      </c>
      <c r="N287" s="39" t="n">
        <f aca="false">IF($J287=1,ROUND($D287*100,0),0)</f>
        <v>0</v>
      </c>
      <c r="O287" s="40" t="str">
        <f aca="false">IF($J287&lt;&gt;1,"",IF(AND((WeekMon+WEEKDAY($K287,2)-1)&gt;=$K287,MOD((WeekMon+WEEKDAY($K287,2)-1)-$K287,$L287)=0,(WeekMon+WEEKDAY($K287,2)-1)&lt;=$M287),(WeekMon+WEEKDAY($K287,2)-1),""))</f>
        <v/>
      </c>
      <c r="P287" s="39" t="str">
        <f aca="false">IF($O287="","",($O287-WeekMon)*1000+ROW()-11)</f>
        <v/>
      </c>
    </row>
    <row r="288" customFormat="false" ht="15" hidden="false" customHeight="false" outlineLevel="0" collapsed="false">
      <c r="A288" s="33"/>
      <c r="B288" s="34"/>
      <c r="C288" s="33"/>
      <c r="D288" s="35"/>
      <c r="E288" s="34"/>
      <c r="F288" s="36" t="str">
        <f aca="false">IF(IF(ISNUMBER($B288),AND($B288=INT($B288),$B288&gt;=DATE(2000,1,1),$B288&lt;=DATE(2099,12,31)),FALSE()),CHOOSE(WEEKDAY($B288,2),"Monday","Tuesday","Wednesday","Thursday","Friday","Saturday","Sunday"),"")</f>
        <v/>
      </c>
      <c r="G288" s="36" t="str">
        <f aca="false">IF($J288&lt;&gt;1,"",MAX(0,INT((MIN(WinStart+83,$M288)-MAX($K288,$K288+ROUNDUP((WinStart-$K288)/$L288,0)*$L288))/$L288)+1))</f>
        <v/>
      </c>
      <c r="H288" s="37" t="str">
        <f aca="false">IF(AND($A288="",$B288="",$C288="",$D288="",$E288=""),"",IF($I288="","OK","Check details"))</f>
        <v/>
      </c>
      <c r="I288" s="38" t="str">
        <f aca="false">IF(AND($A288="",$B288="",$C288="",$D288="",$E288=""),"",TRIM(IF(TRIM($A288&amp;"")="","Label is missing. ","")&amp;IF($B288="","First visit is missing. ",IF(NOT(ISNUMBER($B288)),"First visit isn't a date (it's text). ",IF($B288&lt;&gt;INT($B288),"First visit has a time; enter a date only. ",IF(OR($B288&lt;DATE(2000,1,1),$B288&gt;DATE(2099,12,31)),"First visit must be from 2000 to 2099. ",""))))&amp;IF($C288="","Repeat every is missing. ",IF(ISNA(MATCH($C288&amp;"",{"Weekly","Every 2 weeks","Every 3 weeks","Every 4 weeks"},0)),"Repeat every must be Weekly or Every 2, 3 or 4 weeks. ",""))&amp;IF($D288="","Visit length is missing. ",IF(NOT(ISNUMBER($D288)),"Visit length must be a number of hours. ",IF($D288&lt;0,"Visit length can't be negative. ",IF($D288=0,"Visit length must be more than 0. ",IF(ABS($D288*100-ROUND($D288*100,0))&gt;0.000001,"Visit length: use up to 2 decimals. ",IF($D288&gt;24,"Visit length: 24 hours or less. ",""))))))&amp;IF($E288="","",IF(NOT(ISNUMBER($E288)),"Last visit isn't a date (it's text). ",IF($E288&lt;&gt;INT($E288),"Last visit has a time; enter a date only. ",IF(OR($E288&lt;DATE(2000,1,1),$E288&gt;DATE(2099,12,31)),"Last visit must be from 2000 to 2099. ",IF(AND(IF(ISNUMBER($B288),AND($B288=INT($B288),$B288&gt;=DATE(2000,1,1),$B288&lt;=DATE(2099,12,31)),FALSE()),$E288&lt;$B288),"Last visit is before the first visit. ","")))))))</f>
        <v/>
      </c>
      <c r="J288" s="39" t="n">
        <f aca="false">IF($H288="OK",1,0)</f>
        <v>0</v>
      </c>
      <c r="K288" s="40" t="n">
        <f aca="false">IF($J288=1,$B288,0)</f>
        <v>0</v>
      </c>
      <c r="L288" s="39" t="n">
        <f aca="false">IF($J288=1,7*MATCH($C288&amp;"",{"Weekly","Every 2 weeks","Every 3 weeks","Every 4 weeks"},0),7)</f>
        <v>7</v>
      </c>
      <c r="M288" s="40" t="n">
        <f aca="false">IF($J288=1,IF($E288="",2958465,$E288),0)</f>
        <v>0</v>
      </c>
      <c r="N288" s="39" t="n">
        <f aca="false">IF($J288=1,ROUND($D288*100,0),0)</f>
        <v>0</v>
      </c>
      <c r="O288" s="40" t="str">
        <f aca="false">IF($J288&lt;&gt;1,"",IF(AND((WeekMon+WEEKDAY($K288,2)-1)&gt;=$K288,MOD((WeekMon+WEEKDAY($K288,2)-1)-$K288,$L288)=0,(WeekMon+WEEKDAY($K288,2)-1)&lt;=$M288),(WeekMon+WEEKDAY($K288,2)-1),""))</f>
        <v/>
      </c>
      <c r="P288" s="39" t="str">
        <f aca="false">IF($O288="","",($O288-WeekMon)*1000+ROW()-11)</f>
        <v/>
      </c>
    </row>
    <row r="289" customFormat="false" ht="15" hidden="false" customHeight="false" outlineLevel="0" collapsed="false">
      <c r="A289" s="33"/>
      <c r="B289" s="34"/>
      <c r="C289" s="33"/>
      <c r="D289" s="35"/>
      <c r="E289" s="34"/>
      <c r="F289" s="36" t="str">
        <f aca="false">IF(IF(ISNUMBER($B289),AND($B289=INT($B289),$B289&gt;=DATE(2000,1,1),$B289&lt;=DATE(2099,12,31)),FALSE()),CHOOSE(WEEKDAY($B289,2),"Monday","Tuesday","Wednesday","Thursday","Friday","Saturday","Sunday"),"")</f>
        <v/>
      </c>
      <c r="G289" s="36" t="str">
        <f aca="false">IF($J289&lt;&gt;1,"",MAX(0,INT((MIN(WinStart+83,$M289)-MAX($K289,$K289+ROUNDUP((WinStart-$K289)/$L289,0)*$L289))/$L289)+1))</f>
        <v/>
      </c>
      <c r="H289" s="37" t="str">
        <f aca="false">IF(AND($A289="",$B289="",$C289="",$D289="",$E289=""),"",IF($I289="","OK","Check details"))</f>
        <v/>
      </c>
      <c r="I289" s="38" t="str">
        <f aca="false">IF(AND($A289="",$B289="",$C289="",$D289="",$E289=""),"",TRIM(IF(TRIM($A289&amp;"")="","Label is missing. ","")&amp;IF($B289="","First visit is missing. ",IF(NOT(ISNUMBER($B289)),"First visit isn't a date (it's text). ",IF($B289&lt;&gt;INT($B289),"First visit has a time; enter a date only. ",IF(OR($B289&lt;DATE(2000,1,1),$B289&gt;DATE(2099,12,31)),"First visit must be from 2000 to 2099. ",""))))&amp;IF($C289="","Repeat every is missing. ",IF(ISNA(MATCH($C289&amp;"",{"Weekly","Every 2 weeks","Every 3 weeks","Every 4 weeks"},0)),"Repeat every must be Weekly or Every 2, 3 or 4 weeks. ",""))&amp;IF($D289="","Visit length is missing. ",IF(NOT(ISNUMBER($D289)),"Visit length must be a number of hours. ",IF($D289&lt;0,"Visit length can't be negative. ",IF($D289=0,"Visit length must be more than 0. ",IF(ABS($D289*100-ROUND($D289*100,0))&gt;0.000001,"Visit length: use up to 2 decimals. ",IF($D289&gt;24,"Visit length: 24 hours or less. ",""))))))&amp;IF($E289="","",IF(NOT(ISNUMBER($E289)),"Last visit isn't a date (it's text). ",IF($E289&lt;&gt;INT($E289),"Last visit has a time; enter a date only. ",IF(OR($E289&lt;DATE(2000,1,1),$E289&gt;DATE(2099,12,31)),"Last visit must be from 2000 to 2099. ",IF(AND(IF(ISNUMBER($B289),AND($B289=INT($B289),$B289&gt;=DATE(2000,1,1),$B289&lt;=DATE(2099,12,31)),FALSE()),$E289&lt;$B289),"Last visit is before the first visit. ","")))))))</f>
        <v/>
      </c>
      <c r="J289" s="39" t="n">
        <f aca="false">IF($H289="OK",1,0)</f>
        <v>0</v>
      </c>
      <c r="K289" s="40" t="n">
        <f aca="false">IF($J289=1,$B289,0)</f>
        <v>0</v>
      </c>
      <c r="L289" s="39" t="n">
        <f aca="false">IF($J289=1,7*MATCH($C289&amp;"",{"Weekly","Every 2 weeks","Every 3 weeks","Every 4 weeks"},0),7)</f>
        <v>7</v>
      </c>
      <c r="M289" s="40" t="n">
        <f aca="false">IF($J289=1,IF($E289="",2958465,$E289),0)</f>
        <v>0</v>
      </c>
      <c r="N289" s="39" t="n">
        <f aca="false">IF($J289=1,ROUND($D289*100,0),0)</f>
        <v>0</v>
      </c>
      <c r="O289" s="40" t="str">
        <f aca="false">IF($J289&lt;&gt;1,"",IF(AND((WeekMon+WEEKDAY($K289,2)-1)&gt;=$K289,MOD((WeekMon+WEEKDAY($K289,2)-1)-$K289,$L289)=0,(WeekMon+WEEKDAY($K289,2)-1)&lt;=$M289),(WeekMon+WEEKDAY($K289,2)-1),""))</f>
        <v/>
      </c>
      <c r="P289" s="39" t="str">
        <f aca="false">IF($O289="","",($O289-WeekMon)*1000+ROW()-11)</f>
        <v/>
      </c>
    </row>
    <row r="290" customFormat="false" ht="15" hidden="false" customHeight="false" outlineLevel="0" collapsed="false">
      <c r="A290" s="33"/>
      <c r="B290" s="34"/>
      <c r="C290" s="33"/>
      <c r="D290" s="35"/>
      <c r="E290" s="34"/>
      <c r="F290" s="36" t="str">
        <f aca="false">IF(IF(ISNUMBER($B290),AND($B290=INT($B290),$B290&gt;=DATE(2000,1,1),$B290&lt;=DATE(2099,12,31)),FALSE()),CHOOSE(WEEKDAY($B290,2),"Monday","Tuesday","Wednesday","Thursday","Friday","Saturday","Sunday"),"")</f>
        <v/>
      </c>
      <c r="G290" s="36" t="str">
        <f aca="false">IF($J290&lt;&gt;1,"",MAX(0,INT((MIN(WinStart+83,$M290)-MAX($K290,$K290+ROUNDUP((WinStart-$K290)/$L290,0)*$L290))/$L290)+1))</f>
        <v/>
      </c>
      <c r="H290" s="37" t="str">
        <f aca="false">IF(AND($A290="",$B290="",$C290="",$D290="",$E290=""),"",IF($I290="","OK","Check details"))</f>
        <v/>
      </c>
      <c r="I290" s="38" t="str">
        <f aca="false">IF(AND($A290="",$B290="",$C290="",$D290="",$E290=""),"",TRIM(IF(TRIM($A290&amp;"")="","Label is missing. ","")&amp;IF($B290="","First visit is missing. ",IF(NOT(ISNUMBER($B290)),"First visit isn't a date (it's text). ",IF($B290&lt;&gt;INT($B290),"First visit has a time; enter a date only. ",IF(OR($B290&lt;DATE(2000,1,1),$B290&gt;DATE(2099,12,31)),"First visit must be from 2000 to 2099. ",""))))&amp;IF($C290="","Repeat every is missing. ",IF(ISNA(MATCH($C290&amp;"",{"Weekly","Every 2 weeks","Every 3 weeks","Every 4 weeks"},0)),"Repeat every must be Weekly or Every 2, 3 or 4 weeks. ",""))&amp;IF($D290="","Visit length is missing. ",IF(NOT(ISNUMBER($D290)),"Visit length must be a number of hours. ",IF($D290&lt;0,"Visit length can't be negative. ",IF($D290=0,"Visit length must be more than 0. ",IF(ABS($D290*100-ROUND($D290*100,0))&gt;0.000001,"Visit length: use up to 2 decimals. ",IF($D290&gt;24,"Visit length: 24 hours or less. ",""))))))&amp;IF($E290="","",IF(NOT(ISNUMBER($E290)),"Last visit isn't a date (it's text). ",IF($E290&lt;&gt;INT($E290),"Last visit has a time; enter a date only. ",IF(OR($E290&lt;DATE(2000,1,1),$E290&gt;DATE(2099,12,31)),"Last visit must be from 2000 to 2099. ",IF(AND(IF(ISNUMBER($B290),AND($B290=INT($B290),$B290&gt;=DATE(2000,1,1),$B290&lt;=DATE(2099,12,31)),FALSE()),$E290&lt;$B290),"Last visit is before the first visit. ","")))))))</f>
        <v/>
      </c>
      <c r="J290" s="39" t="n">
        <f aca="false">IF($H290="OK",1,0)</f>
        <v>0</v>
      </c>
      <c r="K290" s="40" t="n">
        <f aca="false">IF($J290=1,$B290,0)</f>
        <v>0</v>
      </c>
      <c r="L290" s="39" t="n">
        <f aca="false">IF($J290=1,7*MATCH($C290&amp;"",{"Weekly","Every 2 weeks","Every 3 weeks","Every 4 weeks"},0),7)</f>
        <v>7</v>
      </c>
      <c r="M290" s="40" t="n">
        <f aca="false">IF($J290=1,IF($E290="",2958465,$E290),0)</f>
        <v>0</v>
      </c>
      <c r="N290" s="39" t="n">
        <f aca="false">IF($J290=1,ROUND($D290*100,0),0)</f>
        <v>0</v>
      </c>
      <c r="O290" s="40" t="str">
        <f aca="false">IF($J290&lt;&gt;1,"",IF(AND((WeekMon+WEEKDAY($K290,2)-1)&gt;=$K290,MOD((WeekMon+WEEKDAY($K290,2)-1)-$K290,$L290)=0,(WeekMon+WEEKDAY($K290,2)-1)&lt;=$M290),(WeekMon+WEEKDAY($K290,2)-1),""))</f>
        <v/>
      </c>
      <c r="P290" s="39" t="str">
        <f aca="false">IF($O290="","",($O290-WeekMon)*1000+ROW()-11)</f>
        <v/>
      </c>
    </row>
    <row r="291" customFormat="false" ht="15" hidden="false" customHeight="false" outlineLevel="0" collapsed="false">
      <c r="A291" s="33"/>
      <c r="B291" s="34"/>
      <c r="C291" s="33"/>
      <c r="D291" s="35"/>
      <c r="E291" s="34"/>
      <c r="F291" s="36" t="str">
        <f aca="false">IF(IF(ISNUMBER($B291),AND($B291=INT($B291),$B291&gt;=DATE(2000,1,1),$B291&lt;=DATE(2099,12,31)),FALSE()),CHOOSE(WEEKDAY($B291,2),"Monday","Tuesday","Wednesday","Thursday","Friday","Saturday","Sunday"),"")</f>
        <v/>
      </c>
      <c r="G291" s="36" t="str">
        <f aca="false">IF($J291&lt;&gt;1,"",MAX(0,INT((MIN(WinStart+83,$M291)-MAX($K291,$K291+ROUNDUP((WinStart-$K291)/$L291,0)*$L291))/$L291)+1))</f>
        <v/>
      </c>
      <c r="H291" s="37" t="str">
        <f aca="false">IF(AND($A291="",$B291="",$C291="",$D291="",$E291=""),"",IF($I291="","OK","Check details"))</f>
        <v/>
      </c>
      <c r="I291" s="38" t="str">
        <f aca="false">IF(AND($A291="",$B291="",$C291="",$D291="",$E291=""),"",TRIM(IF(TRIM($A291&amp;"")="","Label is missing. ","")&amp;IF($B291="","First visit is missing. ",IF(NOT(ISNUMBER($B291)),"First visit isn't a date (it's text). ",IF($B291&lt;&gt;INT($B291),"First visit has a time; enter a date only. ",IF(OR($B291&lt;DATE(2000,1,1),$B291&gt;DATE(2099,12,31)),"First visit must be from 2000 to 2099. ",""))))&amp;IF($C291="","Repeat every is missing. ",IF(ISNA(MATCH($C291&amp;"",{"Weekly","Every 2 weeks","Every 3 weeks","Every 4 weeks"},0)),"Repeat every must be Weekly or Every 2, 3 or 4 weeks. ",""))&amp;IF($D291="","Visit length is missing. ",IF(NOT(ISNUMBER($D291)),"Visit length must be a number of hours. ",IF($D291&lt;0,"Visit length can't be negative. ",IF($D291=0,"Visit length must be more than 0. ",IF(ABS($D291*100-ROUND($D291*100,0))&gt;0.000001,"Visit length: use up to 2 decimals. ",IF($D291&gt;24,"Visit length: 24 hours or less. ",""))))))&amp;IF($E291="","",IF(NOT(ISNUMBER($E291)),"Last visit isn't a date (it's text). ",IF($E291&lt;&gt;INT($E291),"Last visit has a time; enter a date only. ",IF(OR($E291&lt;DATE(2000,1,1),$E291&gt;DATE(2099,12,31)),"Last visit must be from 2000 to 2099. ",IF(AND(IF(ISNUMBER($B291),AND($B291=INT($B291),$B291&gt;=DATE(2000,1,1),$B291&lt;=DATE(2099,12,31)),FALSE()),$E291&lt;$B291),"Last visit is before the first visit. ","")))))))</f>
        <v/>
      </c>
      <c r="J291" s="39" t="n">
        <f aca="false">IF($H291="OK",1,0)</f>
        <v>0</v>
      </c>
      <c r="K291" s="40" t="n">
        <f aca="false">IF($J291=1,$B291,0)</f>
        <v>0</v>
      </c>
      <c r="L291" s="39" t="n">
        <f aca="false">IF($J291=1,7*MATCH($C291&amp;"",{"Weekly","Every 2 weeks","Every 3 weeks","Every 4 weeks"},0),7)</f>
        <v>7</v>
      </c>
      <c r="M291" s="40" t="n">
        <f aca="false">IF($J291=1,IF($E291="",2958465,$E291),0)</f>
        <v>0</v>
      </c>
      <c r="N291" s="39" t="n">
        <f aca="false">IF($J291=1,ROUND($D291*100,0),0)</f>
        <v>0</v>
      </c>
      <c r="O291" s="40" t="str">
        <f aca="false">IF($J291&lt;&gt;1,"",IF(AND((WeekMon+WEEKDAY($K291,2)-1)&gt;=$K291,MOD((WeekMon+WEEKDAY($K291,2)-1)-$K291,$L291)=0,(WeekMon+WEEKDAY($K291,2)-1)&lt;=$M291),(WeekMon+WEEKDAY($K291,2)-1),""))</f>
        <v/>
      </c>
      <c r="P291" s="39" t="str">
        <f aca="false">IF($O291="","",($O291-WeekMon)*1000+ROW()-11)</f>
        <v/>
      </c>
    </row>
    <row r="292" customFormat="false" ht="15" hidden="false" customHeight="false" outlineLevel="0" collapsed="false">
      <c r="A292" s="33"/>
      <c r="B292" s="34"/>
      <c r="C292" s="33"/>
      <c r="D292" s="35"/>
      <c r="E292" s="34"/>
      <c r="F292" s="36" t="str">
        <f aca="false">IF(IF(ISNUMBER($B292),AND($B292=INT($B292),$B292&gt;=DATE(2000,1,1),$B292&lt;=DATE(2099,12,31)),FALSE()),CHOOSE(WEEKDAY($B292,2),"Monday","Tuesday","Wednesday","Thursday","Friday","Saturday","Sunday"),"")</f>
        <v/>
      </c>
      <c r="G292" s="36" t="str">
        <f aca="false">IF($J292&lt;&gt;1,"",MAX(0,INT((MIN(WinStart+83,$M292)-MAX($K292,$K292+ROUNDUP((WinStart-$K292)/$L292,0)*$L292))/$L292)+1))</f>
        <v/>
      </c>
      <c r="H292" s="37" t="str">
        <f aca="false">IF(AND($A292="",$B292="",$C292="",$D292="",$E292=""),"",IF($I292="","OK","Check details"))</f>
        <v/>
      </c>
      <c r="I292" s="38" t="str">
        <f aca="false">IF(AND($A292="",$B292="",$C292="",$D292="",$E292=""),"",TRIM(IF(TRIM($A292&amp;"")="","Label is missing. ","")&amp;IF($B292="","First visit is missing. ",IF(NOT(ISNUMBER($B292)),"First visit isn't a date (it's text). ",IF($B292&lt;&gt;INT($B292),"First visit has a time; enter a date only. ",IF(OR($B292&lt;DATE(2000,1,1),$B292&gt;DATE(2099,12,31)),"First visit must be from 2000 to 2099. ",""))))&amp;IF($C292="","Repeat every is missing. ",IF(ISNA(MATCH($C292&amp;"",{"Weekly","Every 2 weeks","Every 3 weeks","Every 4 weeks"},0)),"Repeat every must be Weekly or Every 2, 3 or 4 weeks. ",""))&amp;IF($D292="","Visit length is missing. ",IF(NOT(ISNUMBER($D292)),"Visit length must be a number of hours. ",IF($D292&lt;0,"Visit length can't be negative. ",IF($D292=0,"Visit length must be more than 0. ",IF(ABS($D292*100-ROUND($D292*100,0))&gt;0.000001,"Visit length: use up to 2 decimals. ",IF($D292&gt;24,"Visit length: 24 hours or less. ",""))))))&amp;IF($E292="","",IF(NOT(ISNUMBER($E292)),"Last visit isn't a date (it's text). ",IF($E292&lt;&gt;INT($E292),"Last visit has a time; enter a date only. ",IF(OR($E292&lt;DATE(2000,1,1),$E292&gt;DATE(2099,12,31)),"Last visit must be from 2000 to 2099. ",IF(AND(IF(ISNUMBER($B292),AND($B292=INT($B292),$B292&gt;=DATE(2000,1,1),$B292&lt;=DATE(2099,12,31)),FALSE()),$E292&lt;$B292),"Last visit is before the first visit. ","")))))))</f>
        <v/>
      </c>
      <c r="J292" s="39" t="n">
        <f aca="false">IF($H292="OK",1,0)</f>
        <v>0</v>
      </c>
      <c r="K292" s="40" t="n">
        <f aca="false">IF($J292=1,$B292,0)</f>
        <v>0</v>
      </c>
      <c r="L292" s="39" t="n">
        <f aca="false">IF($J292=1,7*MATCH($C292&amp;"",{"Weekly","Every 2 weeks","Every 3 weeks","Every 4 weeks"},0),7)</f>
        <v>7</v>
      </c>
      <c r="M292" s="40" t="n">
        <f aca="false">IF($J292=1,IF($E292="",2958465,$E292),0)</f>
        <v>0</v>
      </c>
      <c r="N292" s="39" t="n">
        <f aca="false">IF($J292=1,ROUND($D292*100,0),0)</f>
        <v>0</v>
      </c>
      <c r="O292" s="40" t="str">
        <f aca="false">IF($J292&lt;&gt;1,"",IF(AND((WeekMon+WEEKDAY($K292,2)-1)&gt;=$K292,MOD((WeekMon+WEEKDAY($K292,2)-1)-$K292,$L292)=0,(WeekMon+WEEKDAY($K292,2)-1)&lt;=$M292),(WeekMon+WEEKDAY($K292,2)-1),""))</f>
        <v/>
      </c>
      <c r="P292" s="39" t="str">
        <f aca="false">IF($O292="","",($O292-WeekMon)*1000+ROW()-11)</f>
        <v/>
      </c>
    </row>
    <row r="293" customFormat="false" ht="15" hidden="false" customHeight="false" outlineLevel="0" collapsed="false">
      <c r="A293" s="33"/>
      <c r="B293" s="34"/>
      <c r="C293" s="33"/>
      <c r="D293" s="35"/>
      <c r="E293" s="34"/>
      <c r="F293" s="36" t="str">
        <f aca="false">IF(IF(ISNUMBER($B293),AND($B293=INT($B293),$B293&gt;=DATE(2000,1,1),$B293&lt;=DATE(2099,12,31)),FALSE()),CHOOSE(WEEKDAY($B293,2),"Monday","Tuesday","Wednesday","Thursday","Friday","Saturday","Sunday"),"")</f>
        <v/>
      </c>
      <c r="G293" s="36" t="str">
        <f aca="false">IF($J293&lt;&gt;1,"",MAX(0,INT((MIN(WinStart+83,$M293)-MAX($K293,$K293+ROUNDUP((WinStart-$K293)/$L293,0)*$L293))/$L293)+1))</f>
        <v/>
      </c>
      <c r="H293" s="37" t="str">
        <f aca="false">IF(AND($A293="",$B293="",$C293="",$D293="",$E293=""),"",IF($I293="","OK","Check details"))</f>
        <v/>
      </c>
      <c r="I293" s="38" t="str">
        <f aca="false">IF(AND($A293="",$B293="",$C293="",$D293="",$E293=""),"",TRIM(IF(TRIM($A293&amp;"")="","Label is missing. ","")&amp;IF($B293="","First visit is missing. ",IF(NOT(ISNUMBER($B293)),"First visit isn't a date (it's text). ",IF($B293&lt;&gt;INT($B293),"First visit has a time; enter a date only. ",IF(OR($B293&lt;DATE(2000,1,1),$B293&gt;DATE(2099,12,31)),"First visit must be from 2000 to 2099. ",""))))&amp;IF($C293="","Repeat every is missing. ",IF(ISNA(MATCH($C293&amp;"",{"Weekly","Every 2 weeks","Every 3 weeks","Every 4 weeks"},0)),"Repeat every must be Weekly or Every 2, 3 or 4 weeks. ",""))&amp;IF($D293="","Visit length is missing. ",IF(NOT(ISNUMBER($D293)),"Visit length must be a number of hours. ",IF($D293&lt;0,"Visit length can't be negative. ",IF($D293=0,"Visit length must be more than 0. ",IF(ABS($D293*100-ROUND($D293*100,0))&gt;0.000001,"Visit length: use up to 2 decimals. ",IF($D293&gt;24,"Visit length: 24 hours or less. ",""))))))&amp;IF($E293="","",IF(NOT(ISNUMBER($E293)),"Last visit isn't a date (it's text). ",IF($E293&lt;&gt;INT($E293),"Last visit has a time; enter a date only. ",IF(OR($E293&lt;DATE(2000,1,1),$E293&gt;DATE(2099,12,31)),"Last visit must be from 2000 to 2099. ",IF(AND(IF(ISNUMBER($B293),AND($B293=INT($B293),$B293&gt;=DATE(2000,1,1),$B293&lt;=DATE(2099,12,31)),FALSE()),$E293&lt;$B293),"Last visit is before the first visit. ","")))))))</f>
        <v/>
      </c>
      <c r="J293" s="39" t="n">
        <f aca="false">IF($H293="OK",1,0)</f>
        <v>0</v>
      </c>
      <c r="K293" s="40" t="n">
        <f aca="false">IF($J293=1,$B293,0)</f>
        <v>0</v>
      </c>
      <c r="L293" s="39" t="n">
        <f aca="false">IF($J293=1,7*MATCH($C293&amp;"",{"Weekly","Every 2 weeks","Every 3 weeks","Every 4 weeks"},0),7)</f>
        <v>7</v>
      </c>
      <c r="M293" s="40" t="n">
        <f aca="false">IF($J293=1,IF($E293="",2958465,$E293),0)</f>
        <v>0</v>
      </c>
      <c r="N293" s="39" t="n">
        <f aca="false">IF($J293=1,ROUND($D293*100,0),0)</f>
        <v>0</v>
      </c>
      <c r="O293" s="40" t="str">
        <f aca="false">IF($J293&lt;&gt;1,"",IF(AND((WeekMon+WEEKDAY($K293,2)-1)&gt;=$K293,MOD((WeekMon+WEEKDAY($K293,2)-1)-$K293,$L293)=0,(WeekMon+WEEKDAY($K293,2)-1)&lt;=$M293),(WeekMon+WEEKDAY($K293,2)-1),""))</f>
        <v/>
      </c>
      <c r="P293" s="39" t="str">
        <f aca="false">IF($O293="","",($O293-WeekMon)*1000+ROW()-11)</f>
        <v/>
      </c>
    </row>
    <row r="294" customFormat="false" ht="15" hidden="false" customHeight="false" outlineLevel="0" collapsed="false">
      <c r="A294" s="33"/>
      <c r="B294" s="34"/>
      <c r="C294" s="33"/>
      <c r="D294" s="35"/>
      <c r="E294" s="34"/>
      <c r="F294" s="36" t="str">
        <f aca="false">IF(IF(ISNUMBER($B294),AND($B294=INT($B294),$B294&gt;=DATE(2000,1,1),$B294&lt;=DATE(2099,12,31)),FALSE()),CHOOSE(WEEKDAY($B294,2),"Monday","Tuesday","Wednesday","Thursday","Friday","Saturday","Sunday"),"")</f>
        <v/>
      </c>
      <c r="G294" s="36" t="str">
        <f aca="false">IF($J294&lt;&gt;1,"",MAX(0,INT((MIN(WinStart+83,$M294)-MAX($K294,$K294+ROUNDUP((WinStart-$K294)/$L294,0)*$L294))/$L294)+1))</f>
        <v/>
      </c>
      <c r="H294" s="37" t="str">
        <f aca="false">IF(AND($A294="",$B294="",$C294="",$D294="",$E294=""),"",IF($I294="","OK","Check details"))</f>
        <v/>
      </c>
      <c r="I294" s="38" t="str">
        <f aca="false">IF(AND($A294="",$B294="",$C294="",$D294="",$E294=""),"",TRIM(IF(TRIM($A294&amp;"")="","Label is missing. ","")&amp;IF($B294="","First visit is missing. ",IF(NOT(ISNUMBER($B294)),"First visit isn't a date (it's text). ",IF($B294&lt;&gt;INT($B294),"First visit has a time; enter a date only. ",IF(OR($B294&lt;DATE(2000,1,1),$B294&gt;DATE(2099,12,31)),"First visit must be from 2000 to 2099. ",""))))&amp;IF($C294="","Repeat every is missing. ",IF(ISNA(MATCH($C294&amp;"",{"Weekly","Every 2 weeks","Every 3 weeks","Every 4 weeks"},0)),"Repeat every must be Weekly or Every 2, 3 or 4 weeks. ",""))&amp;IF($D294="","Visit length is missing. ",IF(NOT(ISNUMBER($D294)),"Visit length must be a number of hours. ",IF($D294&lt;0,"Visit length can't be negative. ",IF($D294=0,"Visit length must be more than 0. ",IF(ABS($D294*100-ROUND($D294*100,0))&gt;0.000001,"Visit length: use up to 2 decimals. ",IF($D294&gt;24,"Visit length: 24 hours or less. ",""))))))&amp;IF($E294="","",IF(NOT(ISNUMBER($E294)),"Last visit isn't a date (it's text). ",IF($E294&lt;&gt;INT($E294),"Last visit has a time; enter a date only. ",IF(OR($E294&lt;DATE(2000,1,1),$E294&gt;DATE(2099,12,31)),"Last visit must be from 2000 to 2099. ",IF(AND(IF(ISNUMBER($B294),AND($B294=INT($B294),$B294&gt;=DATE(2000,1,1),$B294&lt;=DATE(2099,12,31)),FALSE()),$E294&lt;$B294),"Last visit is before the first visit. ","")))))))</f>
        <v/>
      </c>
      <c r="J294" s="39" t="n">
        <f aca="false">IF($H294="OK",1,0)</f>
        <v>0</v>
      </c>
      <c r="K294" s="40" t="n">
        <f aca="false">IF($J294=1,$B294,0)</f>
        <v>0</v>
      </c>
      <c r="L294" s="39" t="n">
        <f aca="false">IF($J294=1,7*MATCH($C294&amp;"",{"Weekly","Every 2 weeks","Every 3 weeks","Every 4 weeks"},0),7)</f>
        <v>7</v>
      </c>
      <c r="M294" s="40" t="n">
        <f aca="false">IF($J294=1,IF($E294="",2958465,$E294),0)</f>
        <v>0</v>
      </c>
      <c r="N294" s="39" t="n">
        <f aca="false">IF($J294=1,ROUND($D294*100,0),0)</f>
        <v>0</v>
      </c>
      <c r="O294" s="40" t="str">
        <f aca="false">IF($J294&lt;&gt;1,"",IF(AND((WeekMon+WEEKDAY($K294,2)-1)&gt;=$K294,MOD((WeekMon+WEEKDAY($K294,2)-1)-$K294,$L294)=0,(WeekMon+WEEKDAY($K294,2)-1)&lt;=$M294),(WeekMon+WEEKDAY($K294,2)-1),""))</f>
        <v/>
      </c>
      <c r="P294" s="39" t="str">
        <f aca="false">IF($O294="","",($O294-WeekMon)*1000+ROW()-11)</f>
        <v/>
      </c>
    </row>
    <row r="295" customFormat="false" ht="15" hidden="false" customHeight="false" outlineLevel="0" collapsed="false">
      <c r="A295" s="33"/>
      <c r="B295" s="34"/>
      <c r="C295" s="33"/>
      <c r="D295" s="35"/>
      <c r="E295" s="34"/>
      <c r="F295" s="36" t="str">
        <f aca="false">IF(IF(ISNUMBER($B295),AND($B295=INT($B295),$B295&gt;=DATE(2000,1,1),$B295&lt;=DATE(2099,12,31)),FALSE()),CHOOSE(WEEKDAY($B295,2),"Monday","Tuesday","Wednesday","Thursday","Friday","Saturday","Sunday"),"")</f>
        <v/>
      </c>
      <c r="G295" s="36" t="str">
        <f aca="false">IF($J295&lt;&gt;1,"",MAX(0,INT((MIN(WinStart+83,$M295)-MAX($K295,$K295+ROUNDUP((WinStart-$K295)/$L295,0)*$L295))/$L295)+1))</f>
        <v/>
      </c>
      <c r="H295" s="37" t="str">
        <f aca="false">IF(AND($A295="",$B295="",$C295="",$D295="",$E295=""),"",IF($I295="","OK","Check details"))</f>
        <v/>
      </c>
      <c r="I295" s="38" t="str">
        <f aca="false">IF(AND($A295="",$B295="",$C295="",$D295="",$E295=""),"",TRIM(IF(TRIM($A295&amp;"")="","Label is missing. ","")&amp;IF($B295="","First visit is missing. ",IF(NOT(ISNUMBER($B295)),"First visit isn't a date (it's text). ",IF($B295&lt;&gt;INT($B295),"First visit has a time; enter a date only. ",IF(OR($B295&lt;DATE(2000,1,1),$B295&gt;DATE(2099,12,31)),"First visit must be from 2000 to 2099. ",""))))&amp;IF($C295="","Repeat every is missing. ",IF(ISNA(MATCH($C295&amp;"",{"Weekly","Every 2 weeks","Every 3 weeks","Every 4 weeks"},0)),"Repeat every must be Weekly or Every 2, 3 or 4 weeks. ",""))&amp;IF($D295="","Visit length is missing. ",IF(NOT(ISNUMBER($D295)),"Visit length must be a number of hours. ",IF($D295&lt;0,"Visit length can't be negative. ",IF($D295=0,"Visit length must be more than 0. ",IF(ABS($D295*100-ROUND($D295*100,0))&gt;0.000001,"Visit length: use up to 2 decimals. ",IF($D295&gt;24,"Visit length: 24 hours or less. ",""))))))&amp;IF($E295="","",IF(NOT(ISNUMBER($E295)),"Last visit isn't a date (it's text). ",IF($E295&lt;&gt;INT($E295),"Last visit has a time; enter a date only. ",IF(OR($E295&lt;DATE(2000,1,1),$E295&gt;DATE(2099,12,31)),"Last visit must be from 2000 to 2099. ",IF(AND(IF(ISNUMBER($B295),AND($B295=INT($B295),$B295&gt;=DATE(2000,1,1),$B295&lt;=DATE(2099,12,31)),FALSE()),$E295&lt;$B295),"Last visit is before the first visit. ","")))))))</f>
        <v/>
      </c>
      <c r="J295" s="39" t="n">
        <f aca="false">IF($H295="OK",1,0)</f>
        <v>0</v>
      </c>
      <c r="K295" s="40" t="n">
        <f aca="false">IF($J295=1,$B295,0)</f>
        <v>0</v>
      </c>
      <c r="L295" s="39" t="n">
        <f aca="false">IF($J295=1,7*MATCH($C295&amp;"",{"Weekly","Every 2 weeks","Every 3 weeks","Every 4 weeks"},0),7)</f>
        <v>7</v>
      </c>
      <c r="M295" s="40" t="n">
        <f aca="false">IF($J295=1,IF($E295="",2958465,$E295),0)</f>
        <v>0</v>
      </c>
      <c r="N295" s="39" t="n">
        <f aca="false">IF($J295=1,ROUND($D295*100,0),0)</f>
        <v>0</v>
      </c>
      <c r="O295" s="40" t="str">
        <f aca="false">IF($J295&lt;&gt;1,"",IF(AND((WeekMon+WEEKDAY($K295,2)-1)&gt;=$K295,MOD((WeekMon+WEEKDAY($K295,2)-1)-$K295,$L295)=0,(WeekMon+WEEKDAY($K295,2)-1)&lt;=$M295),(WeekMon+WEEKDAY($K295,2)-1),""))</f>
        <v/>
      </c>
      <c r="P295" s="39" t="str">
        <f aca="false">IF($O295="","",($O295-WeekMon)*1000+ROW()-11)</f>
        <v/>
      </c>
    </row>
    <row r="296" customFormat="false" ht="15" hidden="false" customHeight="false" outlineLevel="0" collapsed="false">
      <c r="A296" s="33"/>
      <c r="B296" s="34"/>
      <c r="C296" s="33"/>
      <c r="D296" s="35"/>
      <c r="E296" s="34"/>
      <c r="F296" s="36" t="str">
        <f aca="false">IF(IF(ISNUMBER($B296),AND($B296=INT($B296),$B296&gt;=DATE(2000,1,1),$B296&lt;=DATE(2099,12,31)),FALSE()),CHOOSE(WEEKDAY($B296,2),"Monday","Tuesday","Wednesday","Thursday","Friday","Saturday","Sunday"),"")</f>
        <v/>
      </c>
      <c r="G296" s="36" t="str">
        <f aca="false">IF($J296&lt;&gt;1,"",MAX(0,INT((MIN(WinStart+83,$M296)-MAX($K296,$K296+ROUNDUP((WinStart-$K296)/$L296,0)*$L296))/$L296)+1))</f>
        <v/>
      </c>
      <c r="H296" s="37" t="str">
        <f aca="false">IF(AND($A296="",$B296="",$C296="",$D296="",$E296=""),"",IF($I296="","OK","Check details"))</f>
        <v/>
      </c>
      <c r="I296" s="38" t="str">
        <f aca="false">IF(AND($A296="",$B296="",$C296="",$D296="",$E296=""),"",TRIM(IF(TRIM($A296&amp;"")="","Label is missing. ","")&amp;IF($B296="","First visit is missing. ",IF(NOT(ISNUMBER($B296)),"First visit isn't a date (it's text). ",IF($B296&lt;&gt;INT($B296),"First visit has a time; enter a date only. ",IF(OR($B296&lt;DATE(2000,1,1),$B296&gt;DATE(2099,12,31)),"First visit must be from 2000 to 2099. ",""))))&amp;IF($C296="","Repeat every is missing. ",IF(ISNA(MATCH($C296&amp;"",{"Weekly","Every 2 weeks","Every 3 weeks","Every 4 weeks"},0)),"Repeat every must be Weekly or Every 2, 3 or 4 weeks. ",""))&amp;IF($D296="","Visit length is missing. ",IF(NOT(ISNUMBER($D296)),"Visit length must be a number of hours. ",IF($D296&lt;0,"Visit length can't be negative. ",IF($D296=0,"Visit length must be more than 0. ",IF(ABS($D296*100-ROUND($D296*100,0))&gt;0.000001,"Visit length: use up to 2 decimals. ",IF($D296&gt;24,"Visit length: 24 hours or less. ",""))))))&amp;IF($E296="","",IF(NOT(ISNUMBER($E296)),"Last visit isn't a date (it's text). ",IF($E296&lt;&gt;INT($E296),"Last visit has a time; enter a date only. ",IF(OR($E296&lt;DATE(2000,1,1),$E296&gt;DATE(2099,12,31)),"Last visit must be from 2000 to 2099. ",IF(AND(IF(ISNUMBER($B296),AND($B296=INT($B296),$B296&gt;=DATE(2000,1,1),$B296&lt;=DATE(2099,12,31)),FALSE()),$E296&lt;$B296),"Last visit is before the first visit. ","")))))))</f>
        <v/>
      </c>
      <c r="J296" s="39" t="n">
        <f aca="false">IF($H296="OK",1,0)</f>
        <v>0</v>
      </c>
      <c r="K296" s="40" t="n">
        <f aca="false">IF($J296=1,$B296,0)</f>
        <v>0</v>
      </c>
      <c r="L296" s="39" t="n">
        <f aca="false">IF($J296=1,7*MATCH($C296&amp;"",{"Weekly","Every 2 weeks","Every 3 weeks","Every 4 weeks"},0),7)</f>
        <v>7</v>
      </c>
      <c r="M296" s="40" t="n">
        <f aca="false">IF($J296=1,IF($E296="",2958465,$E296),0)</f>
        <v>0</v>
      </c>
      <c r="N296" s="39" t="n">
        <f aca="false">IF($J296=1,ROUND($D296*100,0),0)</f>
        <v>0</v>
      </c>
      <c r="O296" s="40" t="str">
        <f aca="false">IF($J296&lt;&gt;1,"",IF(AND((WeekMon+WEEKDAY($K296,2)-1)&gt;=$K296,MOD((WeekMon+WEEKDAY($K296,2)-1)-$K296,$L296)=0,(WeekMon+WEEKDAY($K296,2)-1)&lt;=$M296),(WeekMon+WEEKDAY($K296,2)-1),""))</f>
        <v/>
      </c>
      <c r="P296" s="39" t="str">
        <f aca="false">IF($O296="","",($O296-WeekMon)*1000+ROW()-11)</f>
        <v/>
      </c>
    </row>
    <row r="297" customFormat="false" ht="15" hidden="false" customHeight="false" outlineLevel="0" collapsed="false">
      <c r="A297" s="33"/>
      <c r="B297" s="34"/>
      <c r="C297" s="33"/>
      <c r="D297" s="35"/>
      <c r="E297" s="34"/>
      <c r="F297" s="36" t="str">
        <f aca="false">IF(IF(ISNUMBER($B297),AND($B297=INT($B297),$B297&gt;=DATE(2000,1,1),$B297&lt;=DATE(2099,12,31)),FALSE()),CHOOSE(WEEKDAY($B297,2),"Monday","Tuesday","Wednesday","Thursday","Friday","Saturday","Sunday"),"")</f>
        <v/>
      </c>
      <c r="G297" s="36" t="str">
        <f aca="false">IF($J297&lt;&gt;1,"",MAX(0,INT((MIN(WinStart+83,$M297)-MAX($K297,$K297+ROUNDUP((WinStart-$K297)/$L297,0)*$L297))/$L297)+1))</f>
        <v/>
      </c>
      <c r="H297" s="37" t="str">
        <f aca="false">IF(AND($A297="",$B297="",$C297="",$D297="",$E297=""),"",IF($I297="","OK","Check details"))</f>
        <v/>
      </c>
      <c r="I297" s="38" t="str">
        <f aca="false">IF(AND($A297="",$B297="",$C297="",$D297="",$E297=""),"",TRIM(IF(TRIM($A297&amp;"")="","Label is missing. ","")&amp;IF($B297="","First visit is missing. ",IF(NOT(ISNUMBER($B297)),"First visit isn't a date (it's text). ",IF($B297&lt;&gt;INT($B297),"First visit has a time; enter a date only. ",IF(OR($B297&lt;DATE(2000,1,1),$B297&gt;DATE(2099,12,31)),"First visit must be from 2000 to 2099. ",""))))&amp;IF($C297="","Repeat every is missing. ",IF(ISNA(MATCH($C297&amp;"",{"Weekly","Every 2 weeks","Every 3 weeks","Every 4 weeks"},0)),"Repeat every must be Weekly or Every 2, 3 or 4 weeks. ",""))&amp;IF($D297="","Visit length is missing. ",IF(NOT(ISNUMBER($D297)),"Visit length must be a number of hours. ",IF($D297&lt;0,"Visit length can't be negative. ",IF($D297=0,"Visit length must be more than 0. ",IF(ABS($D297*100-ROUND($D297*100,0))&gt;0.000001,"Visit length: use up to 2 decimals. ",IF($D297&gt;24,"Visit length: 24 hours or less. ",""))))))&amp;IF($E297="","",IF(NOT(ISNUMBER($E297)),"Last visit isn't a date (it's text). ",IF($E297&lt;&gt;INT($E297),"Last visit has a time; enter a date only. ",IF(OR($E297&lt;DATE(2000,1,1),$E297&gt;DATE(2099,12,31)),"Last visit must be from 2000 to 2099. ",IF(AND(IF(ISNUMBER($B297),AND($B297=INT($B297),$B297&gt;=DATE(2000,1,1),$B297&lt;=DATE(2099,12,31)),FALSE()),$E297&lt;$B297),"Last visit is before the first visit. ","")))))))</f>
        <v/>
      </c>
      <c r="J297" s="39" t="n">
        <f aca="false">IF($H297="OK",1,0)</f>
        <v>0</v>
      </c>
      <c r="K297" s="40" t="n">
        <f aca="false">IF($J297=1,$B297,0)</f>
        <v>0</v>
      </c>
      <c r="L297" s="39" t="n">
        <f aca="false">IF($J297=1,7*MATCH($C297&amp;"",{"Weekly","Every 2 weeks","Every 3 weeks","Every 4 weeks"},0),7)</f>
        <v>7</v>
      </c>
      <c r="M297" s="40" t="n">
        <f aca="false">IF($J297=1,IF($E297="",2958465,$E297),0)</f>
        <v>0</v>
      </c>
      <c r="N297" s="39" t="n">
        <f aca="false">IF($J297=1,ROUND($D297*100,0),0)</f>
        <v>0</v>
      </c>
      <c r="O297" s="40" t="str">
        <f aca="false">IF($J297&lt;&gt;1,"",IF(AND((WeekMon+WEEKDAY($K297,2)-1)&gt;=$K297,MOD((WeekMon+WEEKDAY($K297,2)-1)-$K297,$L297)=0,(WeekMon+WEEKDAY($K297,2)-1)&lt;=$M297),(WeekMon+WEEKDAY($K297,2)-1),""))</f>
        <v/>
      </c>
      <c r="P297" s="39" t="str">
        <f aca="false">IF($O297="","",($O297-WeekMon)*1000+ROW()-11)</f>
        <v/>
      </c>
    </row>
    <row r="298" customFormat="false" ht="15" hidden="false" customHeight="false" outlineLevel="0" collapsed="false">
      <c r="A298" s="33"/>
      <c r="B298" s="34"/>
      <c r="C298" s="33"/>
      <c r="D298" s="35"/>
      <c r="E298" s="34"/>
      <c r="F298" s="36" t="str">
        <f aca="false">IF(IF(ISNUMBER($B298),AND($B298=INT($B298),$B298&gt;=DATE(2000,1,1),$B298&lt;=DATE(2099,12,31)),FALSE()),CHOOSE(WEEKDAY($B298,2),"Monday","Tuesday","Wednesday","Thursday","Friday","Saturday","Sunday"),"")</f>
        <v/>
      </c>
      <c r="G298" s="36" t="str">
        <f aca="false">IF($J298&lt;&gt;1,"",MAX(0,INT((MIN(WinStart+83,$M298)-MAX($K298,$K298+ROUNDUP((WinStart-$K298)/$L298,0)*$L298))/$L298)+1))</f>
        <v/>
      </c>
      <c r="H298" s="37" t="str">
        <f aca="false">IF(AND($A298="",$B298="",$C298="",$D298="",$E298=""),"",IF($I298="","OK","Check details"))</f>
        <v/>
      </c>
      <c r="I298" s="38" t="str">
        <f aca="false">IF(AND($A298="",$B298="",$C298="",$D298="",$E298=""),"",TRIM(IF(TRIM($A298&amp;"")="","Label is missing. ","")&amp;IF($B298="","First visit is missing. ",IF(NOT(ISNUMBER($B298)),"First visit isn't a date (it's text). ",IF($B298&lt;&gt;INT($B298),"First visit has a time; enter a date only. ",IF(OR($B298&lt;DATE(2000,1,1),$B298&gt;DATE(2099,12,31)),"First visit must be from 2000 to 2099. ",""))))&amp;IF($C298="","Repeat every is missing. ",IF(ISNA(MATCH($C298&amp;"",{"Weekly","Every 2 weeks","Every 3 weeks","Every 4 weeks"},0)),"Repeat every must be Weekly or Every 2, 3 or 4 weeks. ",""))&amp;IF($D298="","Visit length is missing. ",IF(NOT(ISNUMBER($D298)),"Visit length must be a number of hours. ",IF($D298&lt;0,"Visit length can't be negative. ",IF($D298=0,"Visit length must be more than 0. ",IF(ABS($D298*100-ROUND($D298*100,0))&gt;0.000001,"Visit length: use up to 2 decimals. ",IF($D298&gt;24,"Visit length: 24 hours or less. ",""))))))&amp;IF($E298="","",IF(NOT(ISNUMBER($E298)),"Last visit isn't a date (it's text). ",IF($E298&lt;&gt;INT($E298),"Last visit has a time; enter a date only. ",IF(OR($E298&lt;DATE(2000,1,1),$E298&gt;DATE(2099,12,31)),"Last visit must be from 2000 to 2099. ",IF(AND(IF(ISNUMBER($B298),AND($B298=INT($B298),$B298&gt;=DATE(2000,1,1),$B298&lt;=DATE(2099,12,31)),FALSE()),$E298&lt;$B298),"Last visit is before the first visit. ","")))))))</f>
        <v/>
      </c>
      <c r="J298" s="39" t="n">
        <f aca="false">IF($H298="OK",1,0)</f>
        <v>0</v>
      </c>
      <c r="K298" s="40" t="n">
        <f aca="false">IF($J298=1,$B298,0)</f>
        <v>0</v>
      </c>
      <c r="L298" s="39" t="n">
        <f aca="false">IF($J298=1,7*MATCH($C298&amp;"",{"Weekly","Every 2 weeks","Every 3 weeks","Every 4 weeks"},0),7)</f>
        <v>7</v>
      </c>
      <c r="M298" s="40" t="n">
        <f aca="false">IF($J298=1,IF($E298="",2958465,$E298),0)</f>
        <v>0</v>
      </c>
      <c r="N298" s="39" t="n">
        <f aca="false">IF($J298=1,ROUND($D298*100,0),0)</f>
        <v>0</v>
      </c>
      <c r="O298" s="40" t="str">
        <f aca="false">IF($J298&lt;&gt;1,"",IF(AND((WeekMon+WEEKDAY($K298,2)-1)&gt;=$K298,MOD((WeekMon+WEEKDAY($K298,2)-1)-$K298,$L298)=0,(WeekMon+WEEKDAY($K298,2)-1)&lt;=$M298),(WeekMon+WEEKDAY($K298,2)-1),""))</f>
        <v/>
      </c>
      <c r="P298" s="39" t="str">
        <f aca="false">IF($O298="","",($O298-WeekMon)*1000+ROW()-11)</f>
        <v/>
      </c>
    </row>
    <row r="299" customFormat="false" ht="15" hidden="false" customHeight="false" outlineLevel="0" collapsed="false">
      <c r="A299" s="33"/>
      <c r="B299" s="34"/>
      <c r="C299" s="33"/>
      <c r="D299" s="35"/>
      <c r="E299" s="34"/>
      <c r="F299" s="36" t="str">
        <f aca="false">IF(IF(ISNUMBER($B299),AND($B299=INT($B299),$B299&gt;=DATE(2000,1,1),$B299&lt;=DATE(2099,12,31)),FALSE()),CHOOSE(WEEKDAY($B299,2),"Monday","Tuesday","Wednesday","Thursday","Friday","Saturday","Sunday"),"")</f>
        <v/>
      </c>
      <c r="G299" s="36" t="str">
        <f aca="false">IF($J299&lt;&gt;1,"",MAX(0,INT((MIN(WinStart+83,$M299)-MAX($K299,$K299+ROUNDUP((WinStart-$K299)/$L299,0)*$L299))/$L299)+1))</f>
        <v/>
      </c>
      <c r="H299" s="37" t="str">
        <f aca="false">IF(AND($A299="",$B299="",$C299="",$D299="",$E299=""),"",IF($I299="","OK","Check details"))</f>
        <v/>
      </c>
      <c r="I299" s="38" t="str">
        <f aca="false">IF(AND($A299="",$B299="",$C299="",$D299="",$E299=""),"",TRIM(IF(TRIM($A299&amp;"")="","Label is missing. ","")&amp;IF($B299="","First visit is missing. ",IF(NOT(ISNUMBER($B299)),"First visit isn't a date (it's text). ",IF($B299&lt;&gt;INT($B299),"First visit has a time; enter a date only. ",IF(OR($B299&lt;DATE(2000,1,1),$B299&gt;DATE(2099,12,31)),"First visit must be from 2000 to 2099. ",""))))&amp;IF($C299="","Repeat every is missing. ",IF(ISNA(MATCH($C299&amp;"",{"Weekly","Every 2 weeks","Every 3 weeks","Every 4 weeks"},0)),"Repeat every must be Weekly or Every 2, 3 or 4 weeks. ",""))&amp;IF($D299="","Visit length is missing. ",IF(NOT(ISNUMBER($D299)),"Visit length must be a number of hours. ",IF($D299&lt;0,"Visit length can't be negative. ",IF($D299=0,"Visit length must be more than 0. ",IF(ABS($D299*100-ROUND($D299*100,0))&gt;0.000001,"Visit length: use up to 2 decimals. ",IF($D299&gt;24,"Visit length: 24 hours or less. ",""))))))&amp;IF($E299="","",IF(NOT(ISNUMBER($E299)),"Last visit isn't a date (it's text). ",IF($E299&lt;&gt;INT($E299),"Last visit has a time; enter a date only. ",IF(OR($E299&lt;DATE(2000,1,1),$E299&gt;DATE(2099,12,31)),"Last visit must be from 2000 to 2099. ",IF(AND(IF(ISNUMBER($B299),AND($B299=INT($B299),$B299&gt;=DATE(2000,1,1),$B299&lt;=DATE(2099,12,31)),FALSE()),$E299&lt;$B299),"Last visit is before the first visit. ","")))))))</f>
        <v/>
      </c>
      <c r="J299" s="39" t="n">
        <f aca="false">IF($H299="OK",1,0)</f>
        <v>0</v>
      </c>
      <c r="K299" s="40" t="n">
        <f aca="false">IF($J299=1,$B299,0)</f>
        <v>0</v>
      </c>
      <c r="L299" s="39" t="n">
        <f aca="false">IF($J299=1,7*MATCH($C299&amp;"",{"Weekly","Every 2 weeks","Every 3 weeks","Every 4 weeks"},0),7)</f>
        <v>7</v>
      </c>
      <c r="M299" s="40" t="n">
        <f aca="false">IF($J299=1,IF($E299="",2958465,$E299),0)</f>
        <v>0</v>
      </c>
      <c r="N299" s="39" t="n">
        <f aca="false">IF($J299=1,ROUND($D299*100,0),0)</f>
        <v>0</v>
      </c>
      <c r="O299" s="40" t="str">
        <f aca="false">IF($J299&lt;&gt;1,"",IF(AND((WeekMon+WEEKDAY($K299,2)-1)&gt;=$K299,MOD((WeekMon+WEEKDAY($K299,2)-1)-$K299,$L299)=0,(WeekMon+WEEKDAY($K299,2)-1)&lt;=$M299),(WeekMon+WEEKDAY($K299,2)-1),""))</f>
        <v/>
      </c>
      <c r="P299" s="39" t="str">
        <f aca="false">IF($O299="","",($O299-WeekMon)*1000+ROW()-11)</f>
        <v/>
      </c>
    </row>
    <row r="300" customFormat="false" ht="15" hidden="false" customHeight="false" outlineLevel="0" collapsed="false">
      <c r="A300" s="33"/>
      <c r="B300" s="34"/>
      <c r="C300" s="33"/>
      <c r="D300" s="35"/>
      <c r="E300" s="34"/>
      <c r="F300" s="36" t="str">
        <f aca="false">IF(IF(ISNUMBER($B300),AND($B300=INT($B300),$B300&gt;=DATE(2000,1,1),$B300&lt;=DATE(2099,12,31)),FALSE()),CHOOSE(WEEKDAY($B300,2),"Monday","Tuesday","Wednesday","Thursday","Friday","Saturday","Sunday"),"")</f>
        <v/>
      </c>
      <c r="G300" s="36" t="str">
        <f aca="false">IF($J300&lt;&gt;1,"",MAX(0,INT((MIN(WinStart+83,$M300)-MAX($K300,$K300+ROUNDUP((WinStart-$K300)/$L300,0)*$L300))/$L300)+1))</f>
        <v/>
      </c>
      <c r="H300" s="37" t="str">
        <f aca="false">IF(AND($A300="",$B300="",$C300="",$D300="",$E300=""),"",IF($I300="","OK","Check details"))</f>
        <v/>
      </c>
      <c r="I300" s="38" t="str">
        <f aca="false">IF(AND($A300="",$B300="",$C300="",$D300="",$E300=""),"",TRIM(IF(TRIM($A300&amp;"")="","Label is missing. ","")&amp;IF($B300="","First visit is missing. ",IF(NOT(ISNUMBER($B300)),"First visit isn't a date (it's text). ",IF($B300&lt;&gt;INT($B300),"First visit has a time; enter a date only. ",IF(OR($B300&lt;DATE(2000,1,1),$B300&gt;DATE(2099,12,31)),"First visit must be from 2000 to 2099. ",""))))&amp;IF($C300="","Repeat every is missing. ",IF(ISNA(MATCH($C300&amp;"",{"Weekly","Every 2 weeks","Every 3 weeks","Every 4 weeks"},0)),"Repeat every must be Weekly or Every 2, 3 or 4 weeks. ",""))&amp;IF($D300="","Visit length is missing. ",IF(NOT(ISNUMBER($D300)),"Visit length must be a number of hours. ",IF($D300&lt;0,"Visit length can't be negative. ",IF($D300=0,"Visit length must be more than 0. ",IF(ABS($D300*100-ROUND($D300*100,0))&gt;0.000001,"Visit length: use up to 2 decimals. ",IF($D300&gt;24,"Visit length: 24 hours or less. ",""))))))&amp;IF($E300="","",IF(NOT(ISNUMBER($E300)),"Last visit isn't a date (it's text). ",IF($E300&lt;&gt;INT($E300),"Last visit has a time; enter a date only. ",IF(OR($E300&lt;DATE(2000,1,1),$E300&gt;DATE(2099,12,31)),"Last visit must be from 2000 to 2099. ",IF(AND(IF(ISNUMBER($B300),AND($B300=INT($B300),$B300&gt;=DATE(2000,1,1),$B300&lt;=DATE(2099,12,31)),FALSE()),$E300&lt;$B300),"Last visit is before the first visit. ","")))))))</f>
        <v/>
      </c>
      <c r="J300" s="39" t="n">
        <f aca="false">IF($H300="OK",1,0)</f>
        <v>0</v>
      </c>
      <c r="K300" s="40" t="n">
        <f aca="false">IF($J300=1,$B300,0)</f>
        <v>0</v>
      </c>
      <c r="L300" s="39" t="n">
        <f aca="false">IF($J300=1,7*MATCH($C300&amp;"",{"Weekly","Every 2 weeks","Every 3 weeks","Every 4 weeks"},0),7)</f>
        <v>7</v>
      </c>
      <c r="M300" s="40" t="n">
        <f aca="false">IF($J300=1,IF($E300="",2958465,$E300),0)</f>
        <v>0</v>
      </c>
      <c r="N300" s="39" t="n">
        <f aca="false">IF($J300=1,ROUND($D300*100,0),0)</f>
        <v>0</v>
      </c>
      <c r="O300" s="40" t="str">
        <f aca="false">IF($J300&lt;&gt;1,"",IF(AND((WeekMon+WEEKDAY($K300,2)-1)&gt;=$K300,MOD((WeekMon+WEEKDAY($K300,2)-1)-$K300,$L300)=0,(WeekMon+WEEKDAY($K300,2)-1)&lt;=$M300),(WeekMon+WEEKDAY($K300,2)-1),""))</f>
        <v/>
      </c>
      <c r="P300" s="39" t="str">
        <f aca="false">IF($O300="","",($O300-WeekMon)*1000+ROW()-11)</f>
        <v/>
      </c>
    </row>
    <row r="301" customFormat="false" ht="15" hidden="false" customHeight="false" outlineLevel="0" collapsed="false">
      <c r="A301" s="33"/>
      <c r="B301" s="34"/>
      <c r="C301" s="33"/>
      <c r="D301" s="35"/>
      <c r="E301" s="34"/>
      <c r="F301" s="36" t="str">
        <f aca="false">IF(IF(ISNUMBER($B301),AND($B301=INT($B301),$B301&gt;=DATE(2000,1,1),$B301&lt;=DATE(2099,12,31)),FALSE()),CHOOSE(WEEKDAY($B301,2),"Monday","Tuesday","Wednesday","Thursday","Friday","Saturday","Sunday"),"")</f>
        <v/>
      </c>
      <c r="G301" s="36" t="str">
        <f aca="false">IF($J301&lt;&gt;1,"",MAX(0,INT((MIN(WinStart+83,$M301)-MAX($K301,$K301+ROUNDUP((WinStart-$K301)/$L301,0)*$L301))/$L301)+1))</f>
        <v/>
      </c>
      <c r="H301" s="37" t="str">
        <f aca="false">IF(AND($A301="",$B301="",$C301="",$D301="",$E301=""),"",IF($I301="","OK","Check details"))</f>
        <v/>
      </c>
      <c r="I301" s="38" t="str">
        <f aca="false">IF(AND($A301="",$B301="",$C301="",$D301="",$E301=""),"",TRIM(IF(TRIM($A301&amp;"")="","Label is missing. ","")&amp;IF($B301="","First visit is missing. ",IF(NOT(ISNUMBER($B301)),"First visit isn't a date (it's text). ",IF($B301&lt;&gt;INT($B301),"First visit has a time; enter a date only. ",IF(OR($B301&lt;DATE(2000,1,1),$B301&gt;DATE(2099,12,31)),"First visit must be from 2000 to 2099. ",""))))&amp;IF($C301="","Repeat every is missing. ",IF(ISNA(MATCH($C301&amp;"",{"Weekly","Every 2 weeks","Every 3 weeks","Every 4 weeks"},0)),"Repeat every must be Weekly or Every 2, 3 or 4 weeks. ",""))&amp;IF($D301="","Visit length is missing. ",IF(NOT(ISNUMBER($D301)),"Visit length must be a number of hours. ",IF($D301&lt;0,"Visit length can't be negative. ",IF($D301=0,"Visit length must be more than 0. ",IF(ABS($D301*100-ROUND($D301*100,0))&gt;0.000001,"Visit length: use up to 2 decimals. ",IF($D301&gt;24,"Visit length: 24 hours or less. ",""))))))&amp;IF($E301="","",IF(NOT(ISNUMBER($E301)),"Last visit isn't a date (it's text). ",IF($E301&lt;&gt;INT($E301),"Last visit has a time; enter a date only. ",IF(OR($E301&lt;DATE(2000,1,1),$E301&gt;DATE(2099,12,31)),"Last visit must be from 2000 to 2099. ",IF(AND(IF(ISNUMBER($B301),AND($B301=INT($B301),$B301&gt;=DATE(2000,1,1),$B301&lt;=DATE(2099,12,31)),FALSE()),$E301&lt;$B301),"Last visit is before the first visit. ","")))))))</f>
        <v/>
      </c>
      <c r="J301" s="39" t="n">
        <f aca="false">IF($H301="OK",1,0)</f>
        <v>0</v>
      </c>
      <c r="K301" s="40" t="n">
        <f aca="false">IF($J301=1,$B301,0)</f>
        <v>0</v>
      </c>
      <c r="L301" s="39" t="n">
        <f aca="false">IF($J301=1,7*MATCH($C301&amp;"",{"Weekly","Every 2 weeks","Every 3 weeks","Every 4 weeks"},0),7)</f>
        <v>7</v>
      </c>
      <c r="M301" s="40" t="n">
        <f aca="false">IF($J301=1,IF($E301="",2958465,$E301),0)</f>
        <v>0</v>
      </c>
      <c r="N301" s="39" t="n">
        <f aca="false">IF($J301=1,ROUND($D301*100,0),0)</f>
        <v>0</v>
      </c>
      <c r="O301" s="40" t="str">
        <f aca="false">IF($J301&lt;&gt;1,"",IF(AND((WeekMon+WEEKDAY($K301,2)-1)&gt;=$K301,MOD((WeekMon+WEEKDAY($K301,2)-1)-$K301,$L301)=0,(WeekMon+WEEKDAY($K301,2)-1)&lt;=$M301),(WeekMon+WEEKDAY($K301,2)-1),""))</f>
        <v/>
      </c>
      <c r="P301" s="39" t="str">
        <f aca="false">IF($O301="","",($O301-WeekMon)*1000+ROW()-11)</f>
        <v/>
      </c>
    </row>
    <row r="302" customFormat="false" ht="15" hidden="false" customHeight="false" outlineLevel="0" collapsed="false">
      <c r="A302" s="33"/>
      <c r="B302" s="34"/>
      <c r="C302" s="33"/>
      <c r="D302" s="35"/>
      <c r="E302" s="34"/>
      <c r="F302" s="36" t="str">
        <f aca="false">IF(IF(ISNUMBER($B302),AND($B302=INT($B302),$B302&gt;=DATE(2000,1,1),$B302&lt;=DATE(2099,12,31)),FALSE()),CHOOSE(WEEKDAY($B302,2),"Monday","Tuesday","Wednesday","Thursday","Friday","Saturday","Sunday"),"")</f>
        <v/>
      </c>
      <c r="G302" s="36" t="str">
        <f aca="false">IF($J302&lt;&gt;1,"",MAX(0,INT((MIN(WinStart+83,$M302)-MAX($K302,$K302+ROUNDUP((WinStart-$K302)/$L302,0)*$L302))/$L302)+1))</f>
        <v/>
      </c>
      <c r="H302" s="37" t="str">
        <f aca="false">IF(AND($A302="",$B302="",$C302="",$D302="",$E302=""),"",IF($I302="","OK","Check details"))</f>
        <v/>
      </c>
      <c r="I302" s="38" t="str">
        <f aca="false">IF(AND($A302="",$B302="",$C302="",$D302="",$E302=""),"",TRIM(IF(TRIM($A302&amp;"")="","Label is missing. ","")&amp;IF($B302="","First visit is missing. ",IF(NOT(ISNUMBER($B302)),"First visit isn't a date (it's text). ",IF($B302&lt;&gt;INT($B302),"First visit has a time; enter a date only. ",IF(OR($B302&lt;DATE(2000,1,1),$B302&gt;DATE(2099,12,31)),"First visit must be from 2000 to 2099. ",""))))&amp;IF($C302="","Repeat every is missing. ",IF(ISNA(MATCH($C302&amp;"",{"Weekly","Every 2 weeks","Every 3 weeks","Every 4 weeks"},0)),"Repeat every must be Weekly or Every 2, 3 or 4 weeks. ",""))&amp;IF($D302="","Visit length is missing. ",IF(NOT(ISNUMBER($D302)),"Visit length must be a number of hours. ",IF($D302&lt;0,"Visit length can't be negative. ",IF($D302=0,"Visit length must be more than 0. ",IF(ABS($D302*100-ROUND($D302*100,0))&gt;0.000001,"Visit length: use up to 2 decimals. ",IF($D302&gt;24,"Visit length: 24 hours or less. ",""))))))&amp;IF($E302="","",IF(NOT(ISNUMBER($E302)),"Last visit isn't a date (it's text). ",IF($E302&lt;&gt;INT($E302),"Last visit has a time; enter a date only. ",IF(OR($E302&lt;DATE(2000,1,1),$E302&gt;DATE(2099,12,31)),"Last visit must be from 2000 to 2099. ",IF(AND(IF(ISNUMBER($B302),AND($B302=INT($B302),$B302&gt;=DATE(2000,1,1),$B302&lt;=DATE(2099,12,31)),FALSE()),$E302&lt;$B302),"Last visit is before the first visit. ","")))))))</f>
        <v/>
      </c>
      <c r="J302" s="39" t="n">
        <f aca="false">IF($H302="OK",1,0)</f>
        <v>0</v>
      </c>
      <c r="K302" s="40" t="n">
        <f aca="false">IF($J302=1,$B302,0)</f>
        <v>0</v>
      </c>
      <c r="L302" s="39" t="n">
        <f aca="false">IF($J302=1,7*MATCH($C302&amp;"",{"Weekly","Every 2 weeks","Every 3 weeks","Every 4 weeks"},0),7)</f>
        <v>7</v>
      </c>
      <c r="M302" s="40" t="n">
        <f aca="false">IF($J302=1,IF($E302="",2958465,$E302),0)</f>
        <v>0</v>
      </c>
      <c r="N302" s="39" t="n">
        <f aca="false">IF($J302=1,ROUND($D302*100,0),0)</f>
        <v>0</v>
      </c>
      <c r="O302" s="40" t="str">
        <f aca="false">IF($J302&lt;&gt;1,"",IF(AND((WeekMon+WEEKDAY($K302,2)-1)&gt;=$K302,MOD((WeekMon+WEEKDAY($K302,2)-1)-$K302,$L302)=0,(WeekMon+WEEKDAY($K302,2)-1)&lt;=$M302),(WeekMon+WEEKDAY($K302,2)-1),""))</f>
        <v/>
      </c>
      <c r="P302" s="39" t="str">
        <f aca="false">IF($O302="","",($O302-WeekMon)*1000+ROW()-11)</f>
        <v/>
      </c>
    </row>
    <row r="303" customFormat="false" ht="15" hidden="false" customHeight="false" outlineLevel="0" collapsed="false">
      <c r="A303" s="33"/>
      <c r="B303" s="34"/>
      <c r="C303" s="33"/>
      <c r="D303" s="35"/>
      <c r="E303" s="34"/>
      <c r="F303" s="36" t="str">
        <f aca="false">IF(IF(ISNUMBER($B303),AND($B303=INT($B303),$B303&gt;=DATE(2000,1,1),$B303&lt;=DATE(2099,12,31)),FALSE()),CHOOSE(WEEKDAY($B303,2),"Monday","Tuesday","Wednesday","Thursday","Friday","Saturday","Sunday"),"")</f>
        <v/>
      </c>
      <c r="G303" s="36" t="str">
        <f aca="false">IF($J303&lt;&gt;1,"",MAX(0,INT((MIN(WinStart+83,$M303)-MAX($K303,$K303+ROUNDUP((WinStart-$K303)/$L303,0)*$L303))/$L303)+1))</f>
        <v/>
      </c>
      <c r="H303" s="37" t="str">
        <f aca="false">IF(AND($A303="",$B303="",$C303="",$D303="",$E303=""),"",IF($I303="","OK","Check details"))</f>
        <v/>
      </c>
      <c r="I303" s="38" t="str">
        <f aca="false">IF(AND($A303="",$B303="",$C303="",$D303="",$E303=""),"",TRIM(IF(TRIM($A303&amp;"")="","Label is missing. ","")&amp;IF($B303="","First visit is missing. ",IF(NOT(ISNUMBER($B303)),"First visit isn't a date (it's text). ",IF($B303&lt;&gt;INT($B303),"First visit has a time; enter a date only. ",IF(OR($B303&lt;DATE(2000,1,1),$B303&gt;DATE(2099,12,31)),"First visit must be from 2000 to 2099. ",""))))&amp;IF($C303="","Repeat every is missing. ",IF(ISNA(MATCH($C303&amp;"",{"Weekly","Every 2 weeks","Every 3 weeks","Every 4 weeks"},0)),"Repeat every must be Weekly or Every 2, 3 or 4 weeks. ",""))&amp;IF($D303="","Visit length is missing. ",IF(NOT(ISNUMBER($D303)),"Visit length must be a number of hours. ",IF($D303&lt;0,"Visit length can't be negative. ",IF($D303=0,"Visit length must be more than 0. ",IF(ABS($D303*100-ROUND($D303*100,0))&gt;0.000001,"Visit length: use up to 2 decimals. ",IF($D303&gt;24,"Visit length: 24 hours or less. ",""))))))&amp;IF($E303="","",IF(NOT(ISNUMBER($E303)),"Last visit isn't a date (it's text). ",IF($E303&lt;&gt;INT($E303),"Last visit has a time; enter a date only. ",IF(OR($E303&lt;DATE(2000,1,1),$E303&gt;DATE(2099,12,31)),"Last visit must be from 2000 to 2099. ",IF(AND(IF(ISNUMBER($B303),AND($B303=INT($B303),$B303&gt;=DATE(2000,1,1),$B303&lt;=DATE(2099,12,31)),FALSE()),$E303&lt;$B303),"Last visit is before the first visit. ","")))))))</f>
        <v/>
      </c>
      <c r="J303" s="39" t="n">
        <f aca="false">IF($H303="OK",1,0)</f>
        <v>0</v>
      </c>
      <c r="K303" s="40" t="n">
        <f aca="false">IF($J303=1,$B303,0)</f>
        <v>0</v>
      </c>
      <c r="L303" s="39" t="n">
        <f aca="false">IF($J303=1,7*MATCH($C303&amp;"",{"Weekly","Every 2 weeks","Every 3 weeks","Every 4 weeks"},0),7)</f>
        <v>7</v>
      </c>
      <c r="M303" s="40" t="n">
        <f aca="false">IF($J303=1,IF($E303="",2958465,$E303),0)</f>
        <v>0</v>
      </c>
      <c r="N303" s="39" t="n">
        <f aca="false">IF($J303=1,ROUND($D303*100,0),0)</f>
        <v>0</v>
      </c>
      <c r="O303" s="40" t="str">
        <f aca="false">IF($J303&lt;&gt;1,"",IF(AND((WeekMon+WEEKDAY($K303,2)-1)&gt;=$K303,MOD((WeekMon+WEEKDAY($K303,2)-1)-$K303,$L303)=0,(WeekMon+WEEKDAY($K303,2)-1)&lt;=$M303),(WeekMon+WEEKDAY($K303,2)-1),""))</f>
        <v/>
      </c>
      <c r="P303" s="39" t="str">
        <f aca="false">IF($O303="","",($O303-WeekMon)*1000+ROW()-11)</f>
        <v/>
      </c>
    </row>
    <row r="304" customFormat="false" ht="15" hidden="false" customHeight="false" outlineLevel="0" collapsed="false">
      <c r="A304" s="33"/>
      <c r="B304" s="34"/>
      <c r="C304" s="33"/>
      <c r="D304" s="35"/>
      <c r="E304" s="34"/>
      <c r="F304" s="36" t="str">
        <f aca="false">IF(IF(ISNUMBER($B304),AND($B304=INT($B304),$B304&gt;=DATE(2000,1,1),$B304&lt;=DATE(2099,12,31)),FALSE()),CHOOSE(WEEKDAY($B304,2),"Monday","Tuesday","Wednesday","Thursday","Friday","Saturday","Sunday"),"")</f>
        <v/>
      </c>
      <c r="G304" s="36" t="str">
        <f aca="false">IF($J304&lt;&gt;1,"",MAX(0,INT((MIN(WinStart+83,$M304)-MAX($K304,$K304+ROUNDUP((WinStart-$K304)/$L304,0)*$L304))/$L304)+1))</f>
        <v/>
      </c>
      <c r="H304" s="37" t="str">
        <f aca="false">IF(AND($A304="",$B304="",$C304="",$D304="",$E304=""),"",IF($I304="","OK","Check details"))</f>
        <v/>
      </c>
      <c r="I304" s="38" t="str">
        <f aca="false">IF(AND($A304="",$B304="",$C304="",$D304="",$E304=""),"",TRIM(IF(TRIM($A304&amp;"")="","Label is missing. ","")&amp;IF($B304="","First visit is missing. ",IF(NOT(ISNUMBER($B304)),"First visit isn't a date (it's text). ",IF($B304&lt;&gt;INT($B304),"First visit has a time; enter a date only. ",IF(OR($B304&lt;DATE(2000,1,1),$B304&gt;DATE(2099,12,31)),"First visit must be from 2000 to 2099. ",""))))&amp;IF($C304="","Repeat every is missing. ",IF(ISNA(MATCH($C304&amp;"",{"Weekly","Every 2 weeks","Every 3 weeks","Every 4 weeks"},0)),"Repeat every must be Weekly or Every 2, 3 or 4 weeks. ",""))&amp;IF($D304="","Visit length is missing. ",IF(NOT(ISNUMBER($D304)),"Visit length must be a number of hours. ",IF($D304&lt;0,"Visit length can't be negative. ",IF($D304=0,"Visit length must be more than 0. ",IF(ABS($D304*100-ROUND($D304*100,0))&gt;0.000001,"Visit length: use up to 2 decimals. ",IF($D304&gt;24,"Visit length: 24 hours or less. ",""))))))&amp;IF($E304="","",IF(NOT(ISNUMBER($E304)),"Last visit isn't a date (it's text). ",IF($E304&lt;&gt;INT($E304),"Last visit has a time; enter a date only. ",IF(OR($E304&lt;DATE(2000,1,1),$E304&gt;DATE(2099,12,31)),"Last visit must be from 2000 to 2099. ",IF(AND(IF(ISNUMBER($B304),AND($B304=INT($B304),$B304&gt;=DATE(2000,1,1),$B304&lt;=DATE(2099,12,31)),FALSE()),$E304&lt;$B304),"Last visit is before the first visit. ","")))))))</f>
        <v/>
      </c>
      <c r="J304" s="39" t="n">
        <f aca="false">IF($H304="OK",1,0)</f>
        <v>0</v>
      </c>
      <c r="K304" s="40" t="n">
        <f aca="false">IF($J304=1,$B304,0)</f>
        <v>0</v>
      </c>
      <c r="L304" s="39" t="n">
        <f aca="false">IF($J304=1,7*MATCH($C304&amp;"",{"Weekly","Every 2 weeks","Every 3 weeks","Every 4 weeks"},0),7)</f>
        <v>7</v>
      </c>
      <c r="M304" s="40" t="n">
        <f aca="false">IF($J304=1,IF($E304="",2958465,$E304),0)</f>
        <v>0</v>
      </c>
      <c r="N304" s="39" t="n">
        <f aca="false">IF($J304=1,ROUND($D304*100,0),0)</f>
        <v>0</v>
      </c>
      <c r="O304" s="40" t="str">
        <f aca="false">IF($J304&lt;&gt;1,"",IF(AND((WeekMon+WEEKDAY($K304,2)-1)&gt;=$K304,MOD((WeekMon+WEEKDAY($K304,2)-1)-$K304,$L304)=0,(WeekMon+WEEKDAY($K304,2)-1)&lt;=$M304),(WeekMon+WEEKDAY($K304,2)-1),""))</f>
        <v/>
      </c>
      <c r="P304" s="39" t="str">
        <f aca="false">IF($O304="","",($O304-WeekMon)*1000+ROW()-11)</f>
        <v/>
      </c>
    </row>
    <row r="305" customFormat="false" ht="15" hidden="false" customHeight="false" outlineLevel="0" collapsed="false">
      <c r="A305" s="33"/>
      <c r="B305" s="34"/>
      <c r="C305" s="33"/>
      <c r="D305" s="35"/>
      <c r="E305" s="34"/>
      <c r="F305" s="36" t="str">
        <f aca="false">IF(IF(ISNUMBER($B305),AND($B305=INT($B305),$B305&gt;=DATE(2000,1,1),$B305&lt;=DATE(2099,12,31)),FALSE()),CHOOSE(WEEKDAY($B305,2),"Monday","Tuesday","Wednesday","Thursday","Friday","Saturday","Sunday"),"")</f>
        <v/>
      </c>
      <c r="G305" s="36" t="str">
        <f aca="false">IF($J305&lt;&gt;1,"",MAX(0,INT((MIN(WinStart+83,$M305)-MAX($K305,$K305+ROUNDUP((WinStart-$K305)/$L305,0)*$L305))/$L305)+1))</f>
        <v/>
      </c>
      <c r="H305" s="37" t="str">
        <f aca="false">IF(AND($A305="",$B305="",$C305="",$D305="",$E305=""),"",IF($I305="","OK","Check details"))</f>
        <v/>
      </c>
      <c r="I305" s="38" t="str">
        <f aca="false">IF(AND($A305="",$B305="",$C305="",$D305="",$E305=""),"",TRIM(IF(TRIM($A305&amp;"")="","Label is missing. ","")&amp;IF($B305="","First visit is missing. ",IF(NOT(ISNUMBER($B305)),"First visit isn't a date (it's text). ",IF($B305&lt;&gt;INT($B305),"First visit has a time; enter a date only. ",IF(OR($B305&lt;DATE(2000,1,1),$B305&gt;DATE(2099,12,31)),"First visit must be from 2000 to 2099. ",""))))&amp;IF($C305="","Repeat every is missing. ",IF(ISNA(MATCH($C305&amp;"",{"Weekly","Every 2 weeks","Every 3 weeks","Every 4 weeks"},0)),"Repeat every must be Weekly or Every 2, 3 or 4 weeks. ",""))&amp;IF($D305="","Visit length is missing. ",IF(NOT(ISNUMBER($D305)),"Visit length must be a number of hours. ",IF($D305&lt;0,"Visit length can't be negative. ",IF($D305=0,"Visit length must be more than 0. ",IF(ABS($D305*100-ROUND($D305*100,0))&gt;0.000001,"Visit length: use up to 2 decimals. ",IF($D305&gt;24,"Visit length: 24 hours or less. ",""))))))&amp;IF($E305="","",IF(NOT(ISNUMBER($E305)),"Last visit isn't a date (it's text). ",IF($E305&lt;&gt;INT($E305),"Last visit has a time; enter a date only. ",IF(OR($E305&lt;DATE(2000,1,1),$E305&gt;DATE(2099,12,31)),"Last visit must be from 2000 to 2099. ",IF(AND(IF(ISNUMBER($B305),AND($B305=INT($B305),$B305&gt;=DATE(2000,1,1),$B305&lt;=DATE(2099,12,31)),FALSE()),$E305&lt;$B305),"Last visit is before the first visit. ","")))))))</f>
        <v/>
      </c>
      <c r="J305" s="39" t="n">
        <f aca="false">IF($H305="OK",1,0)</f>
        <v>0</v>
      </c>
      <c r="K305" s="40" t="n">
        <f aca="false">IF($J305=1,$B305,0)</f>
        <v>0</v>
      </c>
      <c r="L305" s="39" t="n">
        <f aca="false">IF($J305=1,7*MATCH($C305&amp;"",{"Weekly","Every 2 weeks","Every 3 weeks","Every 4 weeks"},0),7)</f>
        <v>7</v>
      </c>
      <c r="M305" s="40" t="n">
        <f aca="false">IF($J305=1,IF($E305="",2958465,$E305),0)</f>
        <v>0</v>
      </c>
      <c r="N305" s="39" t="n">
        <f aca="false">IF($J305=1,ROUND($D305*100,0),0)</f>
        <v>0</v>
      </c>
      <c r="O305" s="40" t="str">
        <f aca="false">IF($J305&lt;&gt;1,"",IF(AND((WeekMon+WEEKDAY($K305,2)-1)&gt;=$K305,MOD((WeekMon+WEEKDAY($K305,2)-1)-$K305,$L305)=0,(WeekMon+WEEKDAY($K305,2)-1)&lt;=$M305),(WeekMon+WEEKDAY($K305,2)-1),""))</f>
        <v/>
      </c>
      <c r="P305" s="39" t="str">
        <f aca="false">IF($O305="","",($O305-WeekMon)*1000+ROW()-11)</f>
        <v/>
      </c>
    </row>
    <row r="306" customFormat="false" ht="15" hidden="false" customHeight="false" outlineLevel="0" collapsed="false">
      <c r="A306" s="33"/>
      <c r="B306" s="34"/>
      <c r="C306" s="33"/>
      <c r="D306" s="35"/>
      <c r="E306" s="34"/>
      <c r="F306" s="36" t="str">
        <f aca="false">IF(IF(ISNUMBER($B306),AND($B306=INT($B306),$B306&gt;=DATE(2000,1,1),$B306&lt;=DATE(2099,12,31)),FALSE()),CHOOSE(WEEKDAY($B306,2),"Monday","Tuesday","Wednesday","Thursday","Friday","Saturday","Sunday"),"")</f>
        <v/>
      </c>
      <c r="G306" s="36" t="str">
        <f aca="false">IF($J306&lt;&gt;1,"",MAX(0,INT((MIN(WinStart+83,$M306)-MAX($K306,$K306+ROUNDUP((WinStart-$K306)/$L306,0)*$L306))/$L306)+1))</f>
        <v/>
      </c>
      <c r="H306" s="37" t="str">
        <f aca="false">IF(AND($A306="",$B306="",$C306="",$D306="",$E306=""),"",IF($I306="","OK","Check details"))</f>
        <v/>
      </c>
      <c r="I306" s="38" t="str">
        <f aca="false">IF(AND($A306="",$B306="",$C306="",$D306="",$E306=""),"",TRIM(IF(TRIM($A306&amp;"")="","Label is missing. ","")&amp;IF($B306="","First visit is missing. ",IF(NOT(ISNUMBER($B306)),"First visit isn't a date (it's text). ",IF($B306&lt;&gt;INT($B306),"First visit has a time; enter a date only. ",IF(OR($B306&lt;DATE(2000,1,1),$B306&gt;DATE(2099,12,31)),"First visit must be from 2000 to 2099. ",""))))&amp;IF($C306="","Repeat every is missing. ",IF(ISNA(MATCH($C306&amp;"",{"Weekly","Every 2 weeks","Every 3 weeks","Every 4 weeks"},0)),"Repeat every must be Weekly or Every 2, 3 or 4 weeks. ",""))&amp;IF($D306="","Visit length is missing. ",IF(NOT(ISNUMBER($D306)),"Visit length must be a number of hours. ",IF($D306&lt;0,"Visit length can't be negative. ",IF($D306=0,"Visit length must be more than 0. ",IF(ABS($D306*100-ROUND($D306*100,0))&gt;0.000001,"Visit length: use up to 2 decimals. ",IF($D306&gt;24,"Visit length: 24 hours or less. ",""))))))&amp;IF($E306="","",IF(NOT(ISNUMBER($E306)),"Last visit isn't a date (it's text). ",IF($E306&lt;&gt;INT($E306),"Last visit has a time; enter a date only. ",IF(OR($E306&lt;DATE(2000,1,1),$E306&gt;DATE(2099,12,31)),"Last visit must be from 2000 to 2099. ",IF(AND(IF(ISNUMBER($B306),AND($B306=INT($B306),$B306&gt;=DATE(2000,1,1),$B306&lt;=DATE(2099,12,31)),FALSE()),$E306&lt;$B306),"Last visit is before the first visit. ","")))))))</f>
        <v/>
      </c>
      <c r="J306" s="39" t="n">
        <f aca="false">IF($H306="OK",1,0)</f>
        <v>0</v>
      </c>
      <c r="K306" s="40" t="n">
        <f aca="false">IF($J306=1,$B306,0)</f>
        <v>0</v>
      </c>
      <c r="L306" s="39" t="n">
        <f aca="false">IF($J306=1,7*MATCH($C306&amp;"",{"Weekly","Every 2 weeks","Every 3 weeks","Every 4 weeks"},0),7)</f>
        <v>7</v>
      </c>
      <c r="M306" s="40" t="n">
        <f aca="false">IF($J306=1,IF($E306="",2958465,$E306),0)</f>
        <v>0</v>
      </c>
      <c r="N306" s="39" t="n">
        <f aca="false">IF($J306=1,ROUND($D306*100,0),0)</f>
        <v>0</v>
      </c>
      <c r="O306" s="40" t="str">
        <f aca="false">IF($J306&lt;&gt;1,"",IF(AND((WeekMon+WEEKDAY($K306,2)-1)&gt;=$K306,MOD((WeekMon+WEEKDAY($K306,2)-1)-$K306,$L306)=0,(WeekMon+WEEKDAY($K306,2)-1)&lt;=$M306),(WeekMon+WEEKDAY($K306,2)-1),""))</f>
        <v/>
      </c>
      <c r="P306" s="39" t="str">
        <f aca="false">IF($O306="","",($O306-WeekMon)*1000+ROW()-11)</f>
        <v/>
      </c>
    </row>
    <row r="307" customFormat="false" ht="15" hidden="false" customHeight="false" outlineLevel="0" collapsed="false">
      <c r="A307" s="33"/>
      <c r="B307" s="34"/>
      <c r="C307" s="33"/>
      <c r="D307" s="35"/>
      <c r="E307" s="34"/>
      <c r="F307" s="36" t="str">
        <f aca="false">IF(IF(ISNUMBER($B307),AND($B307=INT($B307),$B307&gt;=DATE(2000,1,1),$B307&lt;=DATE(2099,12,31)),FALSE()),CHOOSE(WEEKDAY($B307,2),"Monday","Tuesday","Wednesday","Thursday","Friday","Saturday","Sunday"),"")</f>
        <v/>
      </c>
      <c r="G307" s="36" t="str">
        <f aca="false">IF($J307&lt;&gt;1,"",MAX(0,INT((MIN(WinStart+83,$M307)-MAX($K307,$K307+ROUNDUP((WinStart-$K307)/$L307,0)*$L307))/$L307)+1))</f>
        <v/>
      </c>
      <c r="H307" s="37" t="str">
        <f aca="false">IF(AND($A307="",$B307="",$C307="",$D307="",$E307=""),"",IF($I307="","OK","Check details"))</f>
        <v/>
      </c>
      <c r="I307" s="38" t="str">
        <f aca="false">IF(AND($A307="",$B307="",$C307="",$D307="",$E307=""),"",TRIM(IF(TRIM($A307&amp;"")="","Label is missing. ","")&amp;IF($B307="","First visit is missing. ",IF(NOT(ISNUMBER($B307)),"First visit isn't a date (it's text). ",IF($B307&lt;&gt;INT($B307),"First visit has a time; enter a date only. ",IF(OR($B307&lt;DATE(2000,1,1),$B307&gt;DATE(2099,12,31)),"First visit must be from 2000 to 2099. ",""))))&amp;IF($C307="","Repeat every is missing. ",IF(ISNA(MATCH($C307&amp;"",{"Weekly","Every 2 weeks","Every 3 weeks","Every 4 weeks"},0)),"Repeat every must be Weekly or Every 2, 3 or 4 weeks. ",""))&amp;IF($D307="","Visit length is missing. ",IF(NOT(ISNUMBER($D307)),"Visit length must be a number of hours. ",IF($D307&lt;0,"Visit length can't be negative. ",IF($D307=0,"Visit length must be more than 0. ",IF(ABS($D307*100-ROUND($D307*100,0))&gt;0.000001,"Visit length: use up to 2 decimals. ",IF($D307&gt;24,"Visit length: 24 hours or less. ",""))))))&amp;IF($E307="","",IF(NOT(ISNUMBER($E307)),"Last visit isn't a date (it's text). ",IF($E307&lt;&gt;INT($E307),"Last visit has a time; enter a date only. ",IF(OR($E307&lt;DATE(2000,1,1),$E307&gt;DATE(2099,12,31)),"Last visit must be from 2000 to 2099. ",IF(AND(IF(ISNUMBER($B307),AND($B307=INT($B307),$B307&gt;=DATE(2000,1,1),$B307&lt;=DATE(2099,12,31)),FALSE()),$E307&lt;$B307),"Last visit is before the first visit. ","")))))))</f>
        <v/>
      </c>
      <c r="J307" s="39" t="n">
        <f aca="false">IF($H307="OK",1,0)</f>
        <v>0</v>
      </c>
      <c r="K307" s="40" t="n">
        <f aca="false">IF($J307=1,$B307,0)</f>
        <v>0</v>
      </c>
      <c r="L307" s="39" t="n">
        <f aca="false">IF($J307=1,7*MATCH($C307&amp;"",{"Weekly","Every 2 weeks","Every 3 weeks","Every 4 weeks"},0),7)</f>
        <v>7</v>
      </c>
      <c r="M307" s="40" t="n">
        <f aca="false">IF($J307=1,IF($E307="",2958465,$E307),0)</f>
        <v>0</v>
      </c>
      <c r="N307" s="39" t="n">
        <f aca="false">IF($J307=1,ROUND($D307*100,0),0)</f>
        <v>0</v>
      </c>
      <c r="O307" s="40" t="str">
        <f aca="false">IF($J307&lt;&gt;1,"",IF(AND((WeekMon+WEEKDAY($K307,2)-1)&gt;=$K307,MOD((WeekMon+WEEKDAY($K307,2)-1)-$K307,$L307)=0,(WeekMon+WEEKDAY($K307,2)-1)&lt;=$M307),(WeekMon+WEEKDAY($K307,2)-1),""))</f>
        <v/>
      </c>
      <c r="P307" s="39" t="str">
        <f aca="false">IF($O307="","",($O307-WeekMon)*1000+ROW()-11)</f>
        <v/>
      </c>
    </row>
    <row r="308" customFormat="false" ht="15" hidden="false" customHeight="false" outlineLevel="0" collapsed="false">
      <c r="A308" s="33"/>
      <c r="B308" s="34"/>
      <c r="C308" s="33"/>
      <c r="D308" s="35"/>
      <c r="E308" s="34"/>
      <c r="F308" s="36" t="str">
        <f aca="false">IF(IF(ISNUMBER($B308),AND($B308=INT($B308),$B308&gt;=DATE(2000,1,1),$B308&lt;=DATE(2099,12,31)),FALSE()),CHOOSE(WEEKDAY($B308,2),"Monday","Tuesday","Wednesday","Thursday","Friday","Saturday","Sunday"),"")</f>
        <v/>
      </c>
      <c r="G308" s="36" t="str">
        <f aca="false">IF($J308&lt;&gt;1,"",MAX(0,INT((MIN(WinStart+83,$M308)-MAX($K308,$K308+ROUNDUP((WinStart-$K308)/$L308,0)*$L308))/$L308)+1))</f>
        <v/>
      </c>
      <c r="H308" s="37" t="str">
        <f aca="false">IF(AND($A308="",$B308="",$C308="",$D308="",$E308=""),"",IF($I308="","OK","Check details"))</f>
        <v/>
      </c>
      <c r="I308" s="38" t="str">
        <f aca="false">IF(AND($A308="",$B308="",$C308="",$D308="",$E308=""),"",TRIM(IF(TRIM($A308&amp;"")="","Label is missing. ","")&amp;IF($B308="","First visit is missing. ",IF(NOT(ISNUMBER($B308)),"First visit isn't a date (it's text). ",IF($B308&lt;&gt;INT($B308),"First visit has a time; enter a date only. ",IF(OR($B308&lt;DATE(2000,1,1),$B308&gt;DATE(2099,12,31)),"First visit must be from 2000 to 2099. ",""))))&amp;IF($C308="","Repeat every is missing. ",IF(ISNA(MATCH($C308&amp;"",{"Weekly","Every 2 weeks","Every 3 weeks","Every 4 weeks"},0)),"Repeat every must be Weekly or Every 2, 3 or 4 weeks. ",""))&amp;IF($D308="","Visit length is missing. ",IF(NOT(ISNUMBER($D308)),"Visit length must be a number of hours. ",IF($D308&lt;0,"Visit length can't be negative. ",IF($D308=0,"Visit length must be more than 0. ",IF(ABS($D308*100-ROUND($D308*100,0))&gt;0.000001,"Visit length: use up to 2 decimals. ",IF($D308&gt;24,"Visit length: 24 hours or less. ",""))))))&amp;IF($E308="","",IF(NOT(ISNUMBER($E308)),"Last visit isn't a date (it's text). ",IF($E308&lt;&gt;INT($E308),"Last visit has a time; enter a date only. ",IF(OR($E308&lt;DATE(2000,1,1),$E308&gt;DATE(2099,12,31)),"Last visit must be from 2000 to 2099. ",IF(AND(IF(ISNUMBER($B308),AND($B308=INT($B308),$B308&gt;=DATE(2000,1,1),$B308&lt;=DATE(2099,12,31)),FALSE()),$E308&lt;$B308),"Last visit is before the first visit. ","")))))))</f>
        <v/>
      </c>
      <c r="J308" s="39" t="n">
        <f aca="false">IF($H308="OK",1,0)</f>
        <v>0</v>
      </c>
      <c r="K308" s="40" t="n">
        <f aca="false">IF($J308=1,$B308,0)</f>
        <v>0</v>
      </c>
      <c r="L308" s="39" t="n">
        <f aca="false">IF($J308=1,7*MATCH($C308&amp;"",{"Weekly","Every 2 weeks","Every 3 weeks","Every 4 weeks"},0),7)</f>
        <v>7</v>
      </c>
      <c r="M308" s="40" t="n">
        <f aca="false">IF($J308=1,IF($E308="",2958465,$E308),0)</f>
        <v>0</v>
      </c>
      <c r="N308" s="39" t="n">
        <f aca="false">IF($J308=1,ROUND($D308*100,0),0)</f>
        <v>0</v>
      </c>
      <c r="O308" s="40" t="str">
        <f aca="false">IF($J308&lt;&gt;1,"",IF(AND((WeekMon+WEEKDAY($K308,2)-1)&gt;=$K308,MOD((WeekMon+WEEKDAY($K308,2)-1)-$K308,$L308)=0,(WeekMon+WEEKDAY($K308,2)-1)&lt;=$M308),(WeekMon+WEEKDAY($K308,2)-1),""))</f>
        <v/>
      </c>
      <c r="P308" s="39" t="str">
        <f aca="false">IF($O308="","",($O308-WeekMon)*1000+ROW()-11)</f>
        <v/>
      </c>
    </row>
    <row r="309" customFormat="false" ht="15" hidden="false" customHeight="false" outlineLevel="0" collapsed="false">
      <c r="A309" s="33"/>
      <c r="B309" s="34"/>
      <c r="C309" s="33"/>
      <c r="D309" s="35"/>
      <c r="E309" s="34"/>
      <c r="F309" s="36" t="str">
        <f aca="false">IF(IF(ISNUMBER($B309),AND($B309=INT($B309),$B309&gt;=DATE(2000,1,1),$B309&lt;=DATE(2099,12,31)),FALSE()),CHOOSE(WEEKDAY($B309,2),"Monday","Tuesday","Wednesday","Thursday","Friday","Saturday","Sunday"),"")</f>
        <v/>
      </c>
      <c r="G309" s="36" t="str">
        <f aca="false">IF($J309&lt;&gt;1,"",MAX(0,INT((MIN(WinStart+83,$M309)-MAX($K309,$K309+ROUNDUP((WinStart-$K309)/$L309,0)*$L309))/$L309)+1))</f>
        <v/>
      </c>
      <c r="H309" s="37" t="str">
        <f aca="false">IF(AND($A309="",$B309="",$C309="",$D309="",$E309=""),"",IF($I309="","OK","Check details"))</f>
        <v/>
      </c>
      <c r="I309" s="38" t="str">
        <f aca="false">IF(AND($A309="",$B309="",$C309="",$D309="",$E309=""),"",TRIM(IF(TRIM($A309&amp;"")="","Label is missing. ","")&amp;IF($B309="","First visit is missing. ",IF(NOT(ISNUMBER($B309)),"First visit isn't a date (it's text). ",IF($B309&lt;&gt;INT($B309),"First visit has a time; enter a date only. ",IF(OR($B309&lt;DATE(2000,1,1),$B309&gt;DATE(2099,12,31)),"First visit must be from 2000 to 2099. ",""))))&amp;IF($C309="","Repeat every is missing. ",IF(ISNA(MATCH($C309&amp;"",{"Weekly","Every 2 weeks","Every 3 weeks","Every 4 weeks"},0)),"Repeat every must be Weekly or Every 2, 3 or 4 weeks. ",""))&amp;IF($D309="","Visit length is missing. ",IF(NOT(ISNUMBER($D309)),"Visit length must be a number of hours. ",IF($D309&lt;0,"Visit length can't be negative. ",IF($D309=0,"Visit length must be more than 0. ",IF(ABS($D309*100-ROUND($D309*100,0))&gt;0.000001,"Visit length: use up to 2 decimals. ",IF($D309&gt;24,"Visit length: 24 hours or less. ",""))))))&amp;IF($E309="","",IF(NOT(ISNUMBER($E309)),"Last visit isn't a date (it's text). ",IF($E309&lt;&gt;INT($E309),"Last visit has a time; enter a date only. ",IF(OR($E309&lt;DATE(2000,1,1),$E309&gt;DATE(2099,12,31)),"Last visit must be from 2000 to 2099. ",IF(AND(IF(ISNUMBER($B309),AND($B309=INT($B309),$B309&gt;=DATE(2000,1,1),$B309&lt;=DATE(2099,12,31)),FALSE()),$E309&lt;$B309),"Last visit is before the first visit. ","")))))))</f>
        <v/>
      </c>
      <c r="J309" s="39" t="n">
        <f aca="false">IF($H309="OK",1,0)</f>
        <v>0</v>
      </c>
      <c r="K309" s="40" t="n">
        <f aca="false">IF($J309=1,$B309,0)</f>
        <v>0</v>
      </c>
      <c r="L309" s="39" t="n">
        <f aca="false">IF($J309=1,7*MATCH($C309&amp;"",{"Weekly","Every 2 weeks","Every 3 weeks","Every 4 weeks"},0),7)</f>
        <v>7</v>
      </c>
      <c r="M309" s="40" t="n">
        <f aca="false">IF($J309=1,IF($E309="",2958465,$E309),0)</f>
        <v>0</v>
      </c>
      <c r="N309" s="39" t="n">
        <f aca="false">IF($J309=1,ROUND($D309*100,0),0)</f>
        <v>0</v>
      </c>
      <c r="O309" s="40" t="str">
        <f aca="false">IF($J309&lt;&gt;1,"",IF(AND((WeekMon+WEEKDAY($K309,2)-1)&gt;=$K309,MOD((WeekMon+WEEKDAY($K309,2)-1)-$K309,$L309)=0,(WeekMon+WEEKDAY($K309,2)-1)&lt;=$M309),(WeekMon+WEEKDAY($K309,2)-1),""))</f>
        <v/>
      </c>
      <c r="P309" s="39" t="str">
        <f aca="false">IF($O309="","",($O309-WeekMon)*1000+ROW()-11)</f>
        <v/>
      </c>
    </row>
    <row r="310" customFormat="false" ht="15" hidden="false" customHeight="false" outlineLevel="0" collapsed="false">
      <c r="A310" s="33"/>
      <c r="B310" s="34"/>
      <c r="C310" s="33"/>
      <c r="D310" s="35"/>
      <c r="E310" s="34"/>
      <c r="F310" s="36" t="str">
        <f aca="false">IF(IF(ISNUMBER($B310),AND($B310=INT($B310),$B310&gt;=DATE(2000,1,1),$B310&lt;=DATE(2099,12,31)),FALSE()),CHOOSE(WEEKDAY($B310,2),"Monday","Tuesday","Wednesday","Thursday","Friday","Saturday","Sunday"),"")</f>
        <v/>
      </c>
      <c r="G310" s="36" t="str">
        <f aca="false">IF($J310&lt;&gt;1,"",MAX(0,INT((MIN(WinStart+83,$M310)-MAX($K310,$K310+ROUNDUP((WinStart-$K310)/$L310,0)*$L310))/$L310)+1))</f>
        <v/>
      </c>
      <c r="H310" s="37" t="str">
        <f aca="false">IF(AND($A310="",$B310="",$C310="",$D310="",$E310=""),"",IF($I310="","OK","Check details"))</f>
        <v/>
      </c>
      <c r="I310" s="38" t="str">
        <f aca="false">IF(AND($A310="",$B310="",$C310="",$D310="",$E310=""),"",TRIM(IF(TRIM($A310&amp;"")="","Label is missing. ","")&amp;IF($B310="","First visit is missing. ",IF(NOT(ISNUMBER($B310)),"First visit isn't a date (it's text). ",IF($B310&lt;&gt;INT($B310),"First visit has a time; enter a date only. ",IF(OR($B310&lt;DATE(2000,1,1),$B310&gt;DATE(2099,12,31)),"First visit must be from 2000 to 2099. ",""))))&amp;IF($C310="","Repeat every is missing. ",IF(ISNA(MATCH($C310&amp;"",{"Weekly","Every 2 weeks","Every 3 weeks","Every 4 weeks"},0)),"Repeat every must be Weekly or Every 2, 3 or 4 weeks. ",""))&amp;IF($D310="","Visit length is missing. ",IF(NOT(ISNUMBER($D310)),"Visit length must be a number of hours. ",IF($D310&lt;0,"Visit length can't be negative. ",IF($D310=0,"Visit length must be more than 0. ",IF(ABS($D310*100-ROUND($D310*100,0))&gt;0.000001,"Visit length: use up to 2 decimals. ",IF($D310&gt;24,"Visit length: 24 hours or less. ",""))))))&amp;IF($E310="","",IF(NOT(ISNUMBER($E310)),"Last visit isn't a date (it's text). ",IF($E310&lt;&gt;INT($E310),"Last visit has a time; enter a date only. ",IF(OR($E310&lt;DATE(2000,1,1),$E310&gt;DATE(2099,12,31)),"Last visit must be from 2000 to 2099. ",IF(AND(IF(ISNUMBER($B310),AND($B310=INT($B310),$B310&gt;=DATE(2000,1,1),$B310&lt;=DATE(2099,12,31)),FALSE()),$E310&lt;$B310),"Last visit is before the first visit. ","")))))))</f>
        <v/>
      </c>
      <c r="J310" s="39" t="n">
        <f aca="false">IF($H310="OK",1,0)</f>
        <v>0</v>
      </c>
      <c r="K310" s="40" t="n">
        <f aca="false">IF($J310=1,$B310,0)</f>
        <v>0</v>
      </c>
      <c r="L310" s="39" t="n">
        <f aca="false">IF($J310=1,7*MATCH($C310&amp;"",{"Weekly","Every 2 weeks","Every 3 weeks","Every 4 weeks"},0),7)</f>
        <v>7</v>
      </c>
      <c r="M310" s="40" t="n">
        <f aca="false">IF($J310=1,IF($E310="",2958465,$E310),0)</f>
        <v>0</v>
      </c>
      <c r="N310" s="39" t="n">
        <f aca="false">IF($J310=1,ROUND($D310*100,0),0)</f>
        <v>0</v>
      </c>
      <c r="O310" s="40" t="str">
        <f aca="false">IF($J310&lt;&gt;1,"",IF(AND((WeekMon+WEEKDAY($K310,2)-1)&gt;=$K310,MOD((WeekMon+WEEKDAY($K310,2)-1)-$K310,$L310)=0,(WeekMon+WEEKDAY($K310,2)-1)&lt;=$M310),(WeekMon+WEEKDAY($K310,2)-1),""))</f>
        <v/>
      </c>
      <c r="P310" s="39" t="str">
        <f aca="false">IF($O310="","",($O310-WeekMon)*1000+ROW()-11)</f>
        <v/>
      </c>
    </row>
    <row r="311" customFormat="false" ht="15" hidden="false" customHeight="false" outlineLevel="0" collapsed="false">
      <c r="A311" s="33"/>
      <c r="B311" s="34"/>
      <c r="C311" s="33"/>
      <c r="D311" s="35"/>
      <c r="E311" s="34"/>
      <c r="F311" s="36" t="str">
        <f aca="false">IF(IF(ISNUMBER($B311),AND($B311=INT($B311),$B311&gt;=DATE(2000,1,1),$B311&lt;=DATE(2099,12,31)),FALSE()),CHOOSE(WEEKDAY($B311,2),"Monday","Tuesday","Wednesday","Thursday","Friday","Saturday","Sunday"),"")</f>
        <v/>
      </c>
      <c r="G311" s="36" t="str">
        <f aca="false">IF($J311&lt;&gt;1,"",MAX(0,INT((MIN(WinStart+83,$M311)-MAX($K311,$K311+ROUNDUP((WinStart-$K311)/$L311,0)*$L311))/$L311)+1))</f>
        <v/>
      </c>
      <c r="H311" s="37" t="str">
        <f aca="false">IF(AND($A311="",$B311="",$C311="",$D311="",$E311=""),"",IF($I311="","OK","Check details"))</f>
        <v/>
      </c>
      <c r="I311" s="38" t="str">
        <f aca="false">IF(AND($A311="",$B311="",$C311="",$D311="",$E311=""),"",TRIM(IF(TRIM($A311&amp;"")="","Label is missing. ","")&amp;IF($B311="","First visit is missing. ",IF(NOT(ISNUMBER($B311)),"First visit isn't a date (it's text). ",IF($B311&lt;&gt;INT($B311),"First visit has a time; enter a date only. ",IF(OR($B311&lt;DATE(2000,1,1),$B311&gt;DATE(2099,12,31)),"First visit must be from 2000 to 2099. ",""))))&amp;IF($C311="","Repeat every is missing. ",IF(ISNA(MATCH($C311&amp;"",{"Weekly","Every 2 weeks","Every 3 weeks","Every 4 weeks"},0)),"Repeat every must be Weekly or Every 2, 3 or 4 weeks. ",""))&amp;IF($D311="","Visit length is missing. ",IF(NOT(ISNUMBER($D311)),"Visit length must be a number of hours. ",IF($D311&lt;0,"Visit length can't be negative. ",IF($D311=0,"Visit length must be more than 0. ",IF(ABS($D311*100-ROUND($D311*100,0))&gt;0.000001,"Visit length: use up to 2 decimals. ",IF($D311&gt;24,"Visit length: 24 hours or less. ",""))))))&amp;IF($E311="","",IF(NOT(ISNUMBER($E311)),"Last visit isn't a date (it's text). ",IF($E311&lt;&gt;INT($E311),"Last visit has a time; enter a date only. ",IF(OR($E311&lt;DATE(2000,1,1),$E311&gt;DATE(2099,12,31)),"Last visit must be from 2000 to 2099. ",IF(AND(IF(ISNUMBER($B311),AND($B311=INT($B311),$B311&gt;=DATE(2000,1,1),$B311&lt;=DATE(2099,12,31)),FALSE()),$E311&lt;$B311),"Last visit is before the first visit. ","")))))))</f>
        <v/>
      </c>
      <c r="J311" s="39" t="n">
        <f aca="false">IF($H311="OK",1,0)</f>
        <v>0</v>
      </c>
      <c r="K311" s="40" t="n">
        <f aca="false">IF($J311=1,$B311,0)</f>
        <v>0</v>
      </c>
      <c r="L311" s="39" t="n">
        <f aca="false">IF($J311=1,7*MATCH($C311&amp;"",{"Weekly","Every 2 weeks","Every 3 weeks","Every 4 weeks"},0),7)</f>
        <v>7</v>
      </c>
      <c r="M311" s="40" t="n">
        <f aca="false">IF($J311=1,IF($E311="",2958465,$E311),0)</f>
        <v>0</v>
      </c>
      <c r="N311" s="39" t="n">
        <f aca="false">IF($J311=1,ROUND($D311*100,0),0)</f>
        <v>0</v>
      </c>
      <c r="O311" s="40" t="str">
        <f aca="false">IF($J311&lt;&gt;1,"",IF(AND((WeekMon+WEEKDAY($K311,2)-1)&gt;=$K311,MOD((WeekMon+WEEKDAY($K311,2)-1)-$K311,$L311)=0,(WeekMon+WEEKDAY($K311,2)-1)&lt;=$M311),(WeekMon+WEEKDAY($K311,2)-1),""))</f>
        <v/>
      </c>
      <c r="P311" s="39" t="str">
        <f aca="false">IF($O311="","",($O311-WeekMon)*1000+ROW()-11)</f>
        <v/>
      </c>
    </row>
  </sheetData>
  <mergeCells count="4">
    <mergeCell ref="A2:I2"/>
    <mergeCell ref="A3:I3"/>
    <mergeCell ref="B5:I5"/>
    <mergeCell ref="B6:I6"/>
  </mergeCells>
  <conditionalFormatting sqref="H12:H311">
    <cfRule type="expression" priority="2" aboveAverage="0" equalAverage="0" bottom="0" percent="0" rank="0" text="" dxfId="1">
      <formula>$H12="Check details"</formula>
    </cfRule>
  </conditionalFormatting>
  <conditionalFormatting sqref="I12:I311">
    <cfRule type="expression" priority="3" aboveAverage="0" equalAverage="0" bottom="0" percent="0" rank="0" text="" dxfId="0">
      <formula>$I12&lt;&gt;""</formula>
    </cfRule>
  </conditionalFormatting>
  <conditionalFormatting sqref="B5">
    <cfRule type="expression" priority="4" aboveAverage="0" equalAverage="0" bottom="0" percent="0" rank="0" text="" dxfId="0">
      <formula>LEFT($B$5,1)="⚠"</formula>
    </cfRule>
  </conditionalFormatting>
  <dataValidations count="4">
    <dataValidation allowBlank="true" error="Enter a real date from 2000 to 2099 (no time)." errorStyle="stop" errorTitle="First visit" operator="between" showDropDown="false" showErrorMessage="true" showInputMessage="false" sqref="B12:B311" type="date">
      <formula1>DATE(2000,1,1)</formula1>
      <formula2>DATE(2099,12,31)</formula2>
    </dataValidation>
    <dataValidation allowBlank="true" error="Optional. A real date from 2000 to 2099, on or after the first visit." errorStyle="stop" errorTitle="Last visit" operator="between" showDropDown="false" showErrorMessage="true" showInputMessage="false" sqref="E12:E311" type="date">
      <formula1>DATE(2000,1,1)</formula1>
      <formula2>DATE(2099,12,31)</formula2>
    </dataValidation>
    <dataValidation allowBlank="true" error="Choose Weekly, Every 2 weeks, Every 3 weeks or Every 4 weeks." errorStyle="stop" errorTitle="Repeat every" operator="between" showDropDown="false" showErrorMessage="true" showInputMessage="false" sqref="C12:C311" type="list">
      <formula1>"Weekly,Every 2 weeks,Every 3 weeks,Every 4 weeks"</formula1>
      <formula2>0</formula2>
    </dataValidation>
    <dataValidation allowBlank="true" error="Hours per visit: more than 0, up to 24, up to 2 decimals." errorStyle="stop" errorTitle="Visit length" operator="between" showDropDown="false" showErrorMessage="true" showInputMessage="false" sqref="D12:D311" type="decimal">
      <formula1>0.01</formula1>
      <formula2>24</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7"/>
    <col collapsed="false" customWidth="true" hidden="false" outlineLevel="0" max="3" min="3" style="0" width="30"/>
    <col collapsed="false" customWidth="true" hidden="false" outlineLevel="0" max="4" min="4" style="0" width="12"/>
    <col collapsed="false" customWidth="true" hidden="false" outlineLevel="0" max="7" min="5" style="0" width="10"/>
    <col collapsed="false" customWidth="true" hidden="false" outlineLevel="0" max="8" min="8" style="0" width="8"/>
    <col collapsed="false" customWidth="true" hidden="false" outlineLevel="0" max="9" min="9" style="0" width="10"/>
  </cols>
  <sheetData>
    <row r="1" customFormat="false" ht="19.7" hidden="false" customHeight="false" outlineLevel="0" collapsed="false">
      <c r="A1" s="29" t="s">
        <v>48</v>
      </c>
    </row>
    <row r="3" customFormat="false" ht="27.75" hidden="false" customHeight="true" outlineLevel="0" collapsed="false">
      <c r="A3" s="4" t="s">
        <v>49</v>
      </c>
      <c r="B3" s="9"/>
      <c r="C3" s="10" t="s">
        <v>50</v>
      </c>
      <c r="D3" s="10"/>
      <c r="E3" s="10"/>
      <c r="F3" s="10"/>
      <c r="G3" s="10"/>
      <c r="H3" s="10"/>
    </row>
    <row r="4" customFormat="false" ht="15" hidden="false" customHeight="false" outlineLevel="0" collapsed="false">
      <c r="A4" s="41" t="str">
        <f aca="false">CHOOSE(WEEKDAY(WeekMon,2),"Monday","Tuesday","Wednesday","Thursday","Friday","Saturday","Sunday")&amp;", "&amp;CHOOSE(MONTH(WeekMon),"Jan","Feb","Mar","Apr","May","Jun","Jul","Aug","Sep","Oct","Nov","Dec")&amp;" "&amp;DAY(WeekMon)&amp;" – Sunday, "&amp;CHOOSE(MONTH(WeekMon+6),"Jan","Feb","Mar","Apr","May","Jun","Jul","Aug","Sep","Oct","Nov","Dec")&amp;" "&amp;DAY(WeekMon+6)&amp;", "&amp;YEAR(WeekMon+6)&amp;IF(AND(WeekMon&gt;=WinStart,WeekMon&lt;=WinStart+77),"  ·  Week "&amp;((WeekMon-WinStart)/7+1)&amp;" of the Plan window","  ·  outside the Plan window")</f>
        <v>Monday, Oct 19 – Sunday, Oct 25, 2026  ·  Week 1 of the Plan window</v>
      </c>
      <c r="B4" s="41"/>
      <c r="C4" s="41"/>
      <c r="D4" s="41"/>
      <c r="E4" s="41"/>
      <c r="F4" s="41"/>
      <c r="G4" s="41"/>
      <c r="H4" s="41"/>
    </row>
    <row r="5" customFormat="false" ht="25.5" hidden="false" customHeight="true" outlineLevel="0" collapsed="false">
      <c r="A5" s="4" t="s">
        <v>4</v>
      </c>
      <c r="B5" s="42" t="n">
        <f aca="false">IF($B$3="",WinStart,IF(IF(ISNUMBER($B$3),AND($B$3=INT($B$3),$B$3&gt;=DATE(2000,1,1),$B$3&lt;=DATE(2099,12,31)),FALSE()),$B$3-WEEKDAY($B$3,3),WinStart))</f>
        <v>46314</v>
      </c>
      <c r="C5" s="10" t="str">
        <f aca="false">IF(AND($B$3&lt;&gt;"",NOT(IF(ISNUMBER($B$3),AND($B$3=INT($B$3),$B$3&gt;=DATE(2000,1,1),$B$3&lt;=DATE(2099,12,31)),FALSE()))),"⚠ The week date isn't a real date from 2000 to 2099 (or has a time); showing week 1 of the Plan window.","Capacity check on your entered hours (one crew's elapsed time), not timed appointments. Travel isn't calculated.")</f>
        <v>Capacity check on your entered hours (one crew's elapsed time), not timed appointments. Travel isn't calculated.</v>
      </c>
      <c r="D5" s="10"/>
      <c r="E5" s="10"/>
      <c r="F5" s="10"/>
      <c r="G5" s="10"/>
      <c r="H5" s="10"/>
    </row>
    <row r="6" customFormat="false" ht="15" hidden="false" customHeight="false" outlineLevel="0" collapsed="false">
      <c r="A6" s="43" t="str">
        <f aca="false">IF(COUNTIF(Customers!$H$12:$H$311,"Check details")&gt;0,"INCOMPLETE: "&amp;COUNTIF(Customers!$H$12:$H$311,"Check details")&amp;" customer(s) need details on the Customers sheet and are NOT included in these hours.","")</f>
        <v/>
      </c>
      <c r="B6" s="43"/>
      <c r="C6" s="43"/>
      <c r="D6" s="43"/>
      <c r="E6" s="43"/>
      <c r="F6" s="43"/>
      <c r="G6" s="43"/>
      <c r="H6" s="43"/>
    </row>
    <row r="7" customFormat="false" ht="15" hidden="false" customHeight="false" outlineLevel="0" collapsed="false">
      <c r="A7" s="43" t="str">
        <f aca="false">IF(COUNTIF(Plan!$B$7:$H$7,"Not set")+(7-COUNTIF(Plan!$B$7:$H$7,"OK")-COUNTIF(Plan!$B$7:$H$7,"Closed")-COUNTIF(Plan!$B$7:$H$7,"Not set"))&gt;0,"NO HOURS SET (or invalid) for "&amp;(COUNTIF(Plan!$B$7:$H$7,"Not set")+(7-COUNTIF(Plan!$B$7:$H$7,"OK")-COUNTIF(Plan!$B$7:$H$7,"Closed")-COUNTIF(Plan!$B$7:$H$7,"Not set")))&amp;" weekday(s) on the Plan sheet: those days can't be checked.","")</f>
        <v>NO HOURS SET (or invalid) for 7 weekday(s) on the Plan sheet: those days can't be checked.</v>
      </c>
      <c r="B7" s="43"/>
      <c r="C7" s="43"/>
      <c r="D7" s="43"/>
      <c r="E7" s="43"/>
      <c r="F7" s="43"/>
      <c r="G7" s="43"/>
      <c r="H7" s="43"/>
    </row>
    <row r="8" customFormat="false" ht="15" hidden="false" customHeight="false" outlineLevel="0" collapsed="false">
      <c r="A8" s="43" t="str">
        <f aca="false">IF(SUMPRODUCT(--(LEN(Customers!$A$312:$A$5000&amp;Customers!$B$312:$B$5000&amp;Customers!$C$312:$C$5000&amp;Customers!$D$312:$D$5000&amp;Customers!$E$312:$E$5000)&gt;0))&gt;0,"NOT COUNTED: "&amp;SUMPRODUCT(--(LEN(Customers!$A$312:$A$5000&amp;Customers!$B$312:$B$5000&amp;Customers!$C$312:$C$5000&amp;Customers!$D$312:$D$5000&amp;Customers!$E$312:$E$5000)&gt;0))&amp;" row(s) below the Customers table.","")</f>
        <v/>
      </c>
      <c r="B8" s="43"/>
      <c r="C8" s="43"/>
      <c r="D8" s="43"/>
      <c r="E8" s="43"/>
      <c r="F8" s="43"/>
      <c r="G8" s="43"/>
      <c r="H8" s="43"/>
    </row>
    <row r="10" customFormat="false" ht="15" hidden="false" customHeight="false" outlineLevel="0" collapsed="false">
      <c r="A10" s="18" t="s">
        <v>3</v>
      </c>
      <c r="B10" s="18" t="s">
        <v>24</v>
      </c>
      <c r="C10" s="18" t="s">
        <v>28</v>
      </c>
      <c r="D10" s="18" t="s">
        <v>19</v>
      </c>
      <c r="E10" s="18" t="s">
        <v>26</v>
      </c>
      <c r="F10" s="18" t="s">
        <v>21</v>
      </c>
      <c r="G10" s="18" t="s">
        <v>27</v>
      </c>
      <c r="H10" s="18" t="s">
        <v>25</v>
      </c>
    </row>
    <row r="11" customFormat="false" ht="15" hidden="false" customHeight="false" outlineLevel="0" collapsed="false">
      <c r="A11" s="44" t="s">
        <v>4</v>
      </c>
      <c r="B11" s="45" t="n">
        <f aca="false">WeekMon+0</f>
        <v>46314</v>
      </c>
      <c r="C11" s="44" t="str">
        <f aca="false">IF($E11="","CAPACITY NOT SET",IF(ROUND($E11*100,0)=0,IF($H11&gt;0,"OVER CAPACITY","Closed"),IF($H11=0,"No visits",IF(ROUND($D11*100,0)&gt;ROUND($E11*100,0),"OVER CAPACITY",IF(ROUND($D11*100,0)=ROUND($E11*100,0),"Full","Room available")))))</f>
        <v>CAPACITY NOT SET</v>
      </c>
      <c r="D11" s="46" t="n">
        <f aca="false">SUMPRODUCT((Customers!$J$12:$J$311=1)*($B11&gt;=Customers!$K$12:$K$311)*(MOD($B11-Customers!$K$12:$K$311,Customers!$L$12:$L$311)=0)*($B11&lt;=Customers!$M$12:$M$311)*Customers!$N$12:$N$311)/100</f>
        <v>0</v>
      </c>
      <c r="E11" s="46" t="str">
        <f aca="false">IF(OR(Plan!$B$7="OK",Plan!$B$7="Closed"),Plan!$B$6,"")</f>
        <v/>
      </c>
      <c r="F11" s="46" t="str">
        <f aca="false">IF($E11="","",MAX(0,ROUND($D11*100,0)-ROUND($E11*100,0))/100)</f>
        <v/>
      </c>
      <c r="G11" s="46" t="str">
        <f aca="false">IF($E11="","",MAX(0,ROUND($E11*100,0)-ROUND($D11*100,0))/100)</f>
        <v/>
      </c>
      <c r="H11" s="47" t="n">
        <f aca="false">SUMPRODUCT((Customers!$J$12:$J$311=1)*($B11&gt;=Customers!$K$12:$K$311)*(MOD($B11-Customers!$K$12:$K$311,Customers!$L$12:$L$311)=0)*($B11&lt;=Customers!$M$12:$M$311))</f>
        <v>0</v>
      </c>
    </row>
    <row r="12" customFormat="false" ht="15" hidden="false" customHeight="false" outlineLevel="0" collapsed="false">
      <c r="A12" s="44" t="s">
        <v>5</v>
      </c>
      <c r="B12" s="45" t="n">
        <f aca="false">WeekMon+1</f>
        <v>46315</v>
      </c>
      <c r="C12" s="44" t="str">
        <f aca="false">IF($E12="","CAPACITY NOT SET",IF(ROUND($E12*100,0)=0,IF($H12&gt;0,"OVER CAPACITY","Closed"),IF($H12=0,"No visits",IF(ROUND($D12*100,0)&gt;ROUND($E12*100,0),"OVER CAPACITY",IF(ROUND($D12*100,0)=ROUND($E12*100,0),"Full","Room available")))))</f>
        <v>CAPACITY NOT SET</v>
      </c>
      <c r="D12" s="46" t="n">
        <f aca="false">SUMPRODUCT((Customers!$J$12:$J$311=1)*($B12&gt;=Customers!$K$12:$K$311)*(MOD($B12-Customers!$K$12:$K$311,Customers!$L$12:$L$311)=0)*($B12&lt;=Customers!$M$12:$M$311)*Customers!$N$12:$N$311)/100</f>
        <v>0</v>
      </c>
      <c r="E12" s="46" t="str">
        <f aca="false">IF(OR(Plan!$C$7="OK",Plan!$C$7="Closed"),Plan!$C$6,"")</f>
        <v/>
      </c>
      <c r="F12" s="46" t="str">
        <f aca="false">IF($E12="","",MAX(0,ROUND($D12*100,0)-ROUND($E12*100,0))/100)</f>
        <v/>
      </c>
      <c r="G12" s="46" t="str">
        <f aca="false">IF($E12="","",MAX(0,ROUND($E12*100,0)-ROUND($D12*100,0))/100)</f>
        <v/>
      </c>
      <c r="H12" s="47" t="n">
        <f aca="false">SUMPRODUCT((Customers!$J$12:$J$311=1)*($B12&gt;=Customers!$K$12:$K$311)*(MOD($B12-Customers!$K$12:$K$311,Customers!$L$12:$L$311)=0)*($B12&lt;=Customers!$M$12:$M$311))</f>
        <v>0</v>
      </c>
    </row>
    <row r="13" customFormat="false" ht="15" hidden="false" customHeight="false" outlineLevel="0" collapsed="false">
      <c r="A13" s="44" t="s">
        <v>6</v>
      </c>
      <c r="B13" s="45" t="n">
        <f aca="false">WeekMon+2</f>
        <v>46316</v>
      </c>
      <c r="C13" s="44" t="str">
        <f aca="false">IF($E13="","CAPACITY NOT SET",IF(ROUND($E13*100,0)=0,IF($H13&gt;0,"OVER CAPACITY","Closed"),IF($H13=0,"No visits",IF(ROUND($D13*100,0)&gt;ROUND($E13*100,0),"OVER CAPACITY",IF(ROUND($D13*100,0)=ROUND($E13*100,0),"Full","Room available")))))</f>
        <v>CAPACITY NOT SET</v>
      </c>
      <c r="D13" s="46" t="n">
        <f aca="false">SUMPRODUCT((Customers!$J$12:$J$311=1)*($B13&gt;=Customers!$K$12:$K$311)*(MOD($B13-Customers!$K$12:$K$311,Customers!$L$12:$L$311)=0)*($B13&lt;=Customers!$M$12:$M$311)*Customers!$N$12:$N$311)/100</f>
        <v>0</v>
      </c>
      <c r="E13" s="46" t="str">
        <f aca="false">IF(OR(Plan!$D$7="OK",Plan!$D$7="Closed"),Plan!$D$6,"")</f>
        <v/>
      </c>
      <c r="F13" s="46" t="str">
        <f aca="false">IF($E13="","",MAX(0,ROUND($D13*100,0)-ROUND($E13*100,0))/100)</f>
        <v/>
      </c>
      <c r="G13" s="46" t="str">
        <f aca="false">IF($E13="","",MAX(0,ROUND($E13*100,0)-ROUND($D13*100,0))/100)</f>
        <v/>
      </c>
      <c r="H13" s="47" t="n">
        <f aca="false">SUMPRODUCT((Customers!$J$12:$J$311=1)*($B13&gt;=Customers!$K$12:$K$311)*(MOD($B13-Customers!$K$12:$K$311,Customers!$L$12:$L$311)=0)*($B13&lt;=Customers!$M$12:$M$311))</f>
        <v>0</v>
      </c>
    </row>
    <row r="14" customFormat="false" ht="15" hidden="false" customHeight="false" outlineLevel="0" collapsed="false">
      <c r="A14" s="44" t="s">
        <v>7</v>
      </c>
      <c r="B14" s="45" t="n">
        <f aca="false">WeekMon+3</f>
        <v>46317</v>
      </c>
      <c r="C14" s="44" t="str">
        <f aca="false">IF($E14="","CAPACITY NOT SET",IF(ROUND($E14*100,0)=0,IF($H14&gt;0,"OVER CAPACITY","Closed"),IF($H14=0,"No visits",IF(ROUND($D14*100,0)&gt;ROUND($E14*100,0),"OVER CAPACITY",IF(ROUND($D14*100,0)=ROUND($E14*100,0),"Full","Room available")))))</f>
        <v>CAPACITY NOT SET</v>
      </c>
      <c r="D14" s="46" t="n">
        <f aca="false">SUMPRODUCT((Customers!$J$12:$J$311=1)*($B14&gt;=Customers!$K$12:$K$311)*(MOD($B14-Customers!$K$12:$K$311,Customers!$L$12:$L$311)=0)*($B14&lt;=Customers!$M$12:$M$311)*Customers!$N$12:$N$311)/100</f>
        <v>0</v>
      </c>
      <c r="E14" s="46" t="str">
        <f aca="false">IF(OR(Plan!$E$7="OK",Plan!$E$7="Closed"),Plan!$E$6,"")</f>
        <v/>
      </c>
      <c r="F14" s="46" t="str">
        <f aca="false">IF($E14="","",MAX(0,ROUND($D14*100,0)-ROUND($E14*100,0))/100)</f>
        <v/>
      </c>
      <c r="G14" s="46" t="str">
        <f aca="false">IF($E14="","",MAX(0,ROUND($E14*100,0)-ROUND($D14*100,0))/100)</f>
        <v/>
      </c>
      <c r="H14" s="47" t="n">
        <f aca="false">SUMPRODUCT((Customers!$J$12:$J$311=1)*($B14&gt;=Customers!$K$12:$K$311)*(MOD($B14-Customers!$K$12:$K$311,Customers!$L$12:$L$311)=0)*($B14&lt;=Customers!$M$12:$M$311))</f>
        <v>0</v>
      </c>
    </row>
    <row r="15" customFormat="false" ht="15" hidden="false" customHeight="false" outlineLevel="0" collapsed="false">
      <c r="A15" s="44" t="s">
        <v>8</v>
      </c>
      <c r="B15" s="45" t="n">
        <f aca="false">WeekMon+4</f>
        <v>46318</v>
      </c>
      <c r="C15" s="44" t="str">
        <f aca="false">IF($E15="","CAPACITY NOT SET",IF(ROUND($E15*100,0)=0,IF($H15&gt;0,"OVER CAPACITY","Closed"),IF($H15=0,"No visits",IF(ROUND($D15*100,0)&gt;ROUND($E15*100,0),"OVER CAPACITY",IF(ROUND($D15*100,0)=ROUND($E15*100,0),"Full","Room available")))))</f>
        <v>CAPACITY NOT SET</v>
      </c>
      <c r="D15" s="46" t="n">
        <f aca="false">SUMPRODUCT((Customers!$J$12:$J$311=1)*($B15&gt;=Customers!$K$12:$K$311)*(MOD($B15-Customers!$K$12:$K$311,Customers!$L$12:$L$311)=0)*($B15&lt;=Customers!$M$12:$M$311)*Customers!$N$12:$N$311)/100</f>
        <v>0</v>
      </c>
      <c r="E15" s="46" t="str">
        <f aca="false">IF(OR(Plan!$F$7="OK",Plan!$F$7="Closed"),Plan!$F$6,"")</f>
        <v/>
      </c>
      <c r="F15" s="46" t="str">
        <f aca="false">IF($E15="","",MAX(0,ROUND($D15*100,0)-ROUND($E15*100,0))/100)</f>
        <v/>
      </c>
      <c r="G15" s="46" t="str">
        <f aca="false">IF($E15="","",MAX(0,ROUND($E15*100,0)-ROUND($D15*100,0))/100)</f>
        <v/>
      </c>
      <c r="H15" s="47" t="n">
        <f aca="false">SUMPRODUCT((Customers!$J$12:$J$311=1)*($B15&gt;=Customers!$K$12:$K$311)*(MOD($B15-Customers!$K$12:$K$311,Customers!$L$12:$L$311)=0)*($B15&lt;=Customers!$M$12:$M$311))</f>
        <v>0</v>
      </c>
    </row>
    <row r="16" customFormat="false" ht="15" hidden="false" customHeight="false" outlineLevel="0" collapsed="false">
      <c r="A16" s="44" t="s">
        <v>9</v>
      </c>
      <c r="B16" s="45" t="n">
        <f aca="false">WeekMon+5</f>
        <v>46319</v>
      </c>
      <c r="C16" s="44" t="str">
        <f aca="false">IF($E16="","CAPACITY NOT SET",IF(ROUND($E16*100,0)=0,IF($H16&gt;0,"OVER CAPACITY","Closed"),IF($H16=0,"No visits",IF(ROUND($D16*100,0)&gt;ROUND($E16*100,0),"OVER CAPACITY",IF(ROUND($D16*100,0)=ROUND($E16*100,0),"Full","Room available")))))</f>
        <v>CAPACITY NOT SET</v>
      </c>
      <c r="D16" s="46" t="n">
        <f aca="false">SUMPRODUCT((Customers!$J$12:$J$311=1)*($B16&gt;=Customers!$K$12:$K$311)*(MOD($B16-Customers!$K$12:$K$311,Customers!$L$12:$L$311)=0)*($B16&lt;=Customers!$M$12:$M$311)*Customers!$N$12:$N$311)/100</f>
        <v>0</v>
      </c>
      <c r="E16" s="46" t="str">
        <f aca="false">IF(OR(Plan!$G$7="OK",Plan!$G$7="Closed"),Plan!$G$6,"")</f>
        <v/>
      </c>
      <c r="F16" s="46" t="str">
        <f aca="false">IF($E16="","",MAX(0,ROUND($D16*100,0)-ROUND($E16*100,0))/100)</f>
        <v/>
      </c>
      <c r="G16" s="46" t="str">
        <f aca="false">IF($E16="","",MAX(0,ROUND($E16*100,0)-ROUND($D16*100,0))/100)</f>
        <v/>
      </c>
      <c r="H16" s="47" t="n">
        <f aca="false">SUMPRODUCT((Customers!$J$12:$J$311=1)*($B16&gt;=Customers!$K$12:$K$311)*(MOD($B16-Customers!$K$12:$K$311,Customers!$L$12:$L$311)=0)*($B16&lt;=Customers!$M$12:$M$311))</f>
        <v>0</v>
      </c>
    </row>
    <row r="17" customFormat="false" ht="15" hidden="false" customHeight="false" outlineLevel="0" collapsed="false">
      <c r="A17" s="44" t="s">
        <v>10</v>
      </c>
      <c r="B17" s="45" t="n">
        <f aca="false">WeekMon+6</f>
        <v>46320</v>
      </c>
      <c r="C17" s="44" t="str">
        <f aca="false">IF($E17="","CAPACITY NOT SET",IF(ROUND($E17*100,0)=0,IF($H17&gt;0,"OVER CAPACITY","Closed"),IF($H17=0,"No visits",IF(ROUND($D17*100,0)&gt;ROUND($E17*100,0),"OVER CAPACITY",IF(ROUND($D17*100,0)=ROUND($E17*100,0),"Full","Room available")))))</f>
        <v>CAPACITY NOT SET</v>
      </c>
      <c r="D17" s="46" t="n">
        <f aca="false">SUMPRODUCT((Customers!$J$12:$J$311=1)*($B17&gt;=Customers!$K$12:$K$311)*(MOD($B17-Customers!$K$12:$K$311,Customers!$L$12:$L$311)=0)*($B17&lt;=Customers!$M$12:$M$311)*Customers!$N$12:$N$311)/100</f>
        <v>0</v>
      </c>
      <c r="E17" s="46" t="str">
        <f aca="false">IF(OR(Plan!$H$7="OK",Plan!$H$7="Closed"),Plan!$H$6,"")</f>
        <v/>
      </c>
      <c r="F17" s="46" t="str">
        <f aca="false">IF($E17="","",MAX(0,ROUND($D17*100,0)-ROUND($E17*100,0))/100)</f>
        <v/>
      </c>
      <c r="G17" s="46" t="str">
        <f aca="false">IF($E17="","",MAX(0,ROUND($E17*100,0)-ROUND($D17*100,0))/100)</f>
        <v/>
      </c>
      <c r="H17" s="47" t="n">
        <f aca="false">SUMPRODUCT((Customers!$J$12:$J$311=1)*($B17&gt;=Customers!$K$12:$K$311)*(MOD($B17-Customers!$K$12:$K$311,Customers!$L$12:$L$311)=0)*($B17&lt;=Customers!$M$12:$M$311))</f>
        <v>0</v>
      </c>
    </row>
    <row r="18" customFormat="false" ht="15" hidden="false" customHeight="false" outlineLevel="0" collapsed="false">
      <c r="A18" s="48" t="str">
        <f aca="false">"Week total: "&amp;SUBSTITUTE(SUBSTITUTE(TEXT(ROUND(SUM($D$11:$D$17)*100,0)/100,"0.00")&amp;"|",".00|",""),"|","")&amp;" h"&amp;" planned in "&amp;SUM($H$11:$H$17)&amp;" visit(s)."&amp;IF(COUNTIF($C$11:$C$17,"OVER CAPACITY")&gt;0,"  OVER CAPACITY on "&amp;COUNTIF($C$11:$C$17,"OVER CAPACITY")&amp;" day(s) this week.","")</f>
        <v>Week total: 0 h planned in 0 visit(s).</v>
      </c>
      <c r="B18" s="48"/>
      <c r="C18" s="48"/>
      <c r="D18" s="48"/>
      <c r="E18" s="48"/>
      <c r="F18" s="48"/>
      <c r="G18" s="48"/>
      <c r="H18" s="48"/>
    </row>
    <row r="19" customFormat="false" ht="15" hidden="false" customHeight="true" outlineLevel="0" collapsed="false">
      <c r="A19" s="18" t="s">
        <v>3</v>
      </c>
      <c r="B19" s="18" t="s">
        <v>24</v>
      </c>
      <c r="C19" s="18" t="s">
        <v>32</v>
      </c>
      <c r="D19" s="18" t="s">
        <v>51</v>
      </c>
      <c r="E19" s="19" t="s">
        <v>52</v>
      </c>
      <c r="F19" s="19"/>
      <c r="I19" s="49" t="s">
        <v>53</v>
      </c>
    </row>
    <row r="20" customFormat="false" ht="15" hidden="false" customHeight="false" outlineLevel="0" collapsed="false">
      <c r="A20" s="50" t="str">
        <f aca="false">IF($I20="","",CHOOSE(INT($I20/1000)+1,"Monday","Tuesday","Wednesday","Thursday","Friday","Saturday","Sunday"))</f>
        <v/>
      </c>
      <c r="B20" s="51" t="str">
        <f aca="false">IF($I20="","",WeekMon+INT($I20/1000))</f>
        <v/>
      </c>
      <c r="C20" s="52" t="str">
        <f aca="false">IF($I20="","",INDEX(Customers!$A$12:$A$311,MOD($I20,1000))&amp;"")</f>
        <v/>
      </c>
      <c r="D20" s="53" t="str">
        <f aca="false">IF($I20="","",INDEX(Customers!$N$12:$N$311,MOD($I20,1000))/100)</f>
        <v/>
      </c>
      <c r="E20" s="54" t="str">
        <f aca="false">IF($I20="","",INDEX(Customers!$C$12:$C$311,MOD($I20,1000))&amp;"")</f>
        <v/>
      </c>
      <c r="F20" s="54"/>
      <c r="I20" s="55" t="str">
        <f aca="false">IF(1&gt;COUNT(Customers!$P$12:$P$311),"",SMALL(Customers!$P$12:$P$311,1))</f>
        <v/>
      </c>
    </row>
    <row r="21" customFormat="false" ht="15" hidden="false" customHeight="false" outlineLevel="0" collapsed="false">
      <c r="A21" s="50" t="str">
        <f aca="false">IF($I21="","",CHOOSE(INT($I21/1000)+1,"Monday","Tuesday","Wednesday","Thursday","Friday","Saturday","Sunday"))</f>
        <v/>
      </c>
      <c r="B21" s="51" t="str">
        <f aca="false">IF($I21="","",WeekMon+INT($I21/1000))</f>
        <v/>
      </c>
      <c r="C21" s="52" t="str">
        <f aca="false">IF($I21="","",INDEX(Customers!$A$12:$A$311,MOD($I21,1000))&amp;"")</f>
        <v/>
      </c>
      <c r="D21" s="53" t="str">
        <f aca="false">IF($I21="","",INDEX(Customers!$N$12:$N$311,MOD($I21,1000))/100)</f>
        <v/>
      </c>
      <c r="E21" s="54" t="str">
        <f aca="false">IF($I21="","",INDEX(Customers!$C$12:$C$311,MOD($I21,1000))&amp;"")</f>
        <v/>
      </c>
      <c r="F21" s="54"/>
      <c r="I21" s="55" t="str">
        <f aca="false">IF(2&gt;COUNT(Customers!$P$12:$P$311),"",SMALL(Customers!$P$12:$P$311,2))</f>
        <v/>
      </c>
    </row>
    <row r="22" customFormat="false" ht="15" hidden="false" customHeight="false" outlineLevel="0" collapsed="false">
      <c r="A22" s="50" t="str">
        <f aca="false">IF($I22="","",CHOOSE(INT($I22/1000)+1,"Monday","Tuesday","Wednesday","Thursday","Friday","Saturday","Sunday"))</f>
        <v/>
      </c>
      <c r="B22" s="51" t="str">
        <f aca="false">IF($I22="","",WeekMon+INT($I22/1000))</f>
        <v/>
      </c>
      <c r="C22" s="52" t="str">
        <f aca="false">IF($I22="","",INDEX(Customers!$A$12:$A$311,MOD($I22,1000))&amp;"")</f>
        <v/>
      </c>
      <c r="D22" s="53" t="str">
        <f aca="false">IF($I22="","",INDEX(Customers!$N$12:$N$311,MOD($I22,1000))/100)</f>
        <v/>
      </c>
      <c r="E22" s="54" t="str">
        <f aca="false">IF($I22="","",INDEX(Customers!$C$12:$C$311,MOD($I22,1000))&amp;"")</f>
        <v/>
      </c>
      <c r="F22" s="54"/>
      <c r="I22" s="55" t="str">
        <f aca="false">IF(3&gt;COUNT(Customers!$P$12:$P$311),"",SMALL(Customers!$P$12:$P$311,3))</f>
        <v/>
      </c>
    </row>
    <row r="23" customFormat="false" ht="15" hidden="false" customHeight="false" outlineLevel="0" collapsed="false">
      <c r="A23" s="50" t="str">
        <f aca="false">IF($I23="","",CHOOSE(INT($I23/1000)+1,"Monday","Tuesday","Wednesday","Thursday","Friday","Saturday","Sunday"))</f>
        <v/>
      </c>
      <c r="B23" s="51" t="str">
        <f aca="false">IF($I23="","",WeekMon+INT($I23/1000))</f>
        <v/>
      </c>
      <c r="C23" s="52" t="str">
        <f aca="false">IF($I23="","",INDEX(Customers!$A$12:$A$311,MOD($I23,1000))&amp;"")</f>
        <v/>
      </c>
      <c r="D23" s="53" t="str">
        <f aca="false">IF($I23="","",INDEX(Customers!$N$12:$N$311,MOD($I23,1000))/100)</f>
        <v/>
      </c>
      <c r="E23" s="54" t="str">
        <f aca="false">IF($I23="","",INDEX(Customers!$C$12:$C$311,MOD($I23,1000))&amp;"")</f>
        <v/>
      </c>
      <c r="F23" s="54"/>
      <c r="I23" s="55" t="str">
        <f aca="false">IF(4&gt;COUNT(Customers!$P$12:$P$311),"",SMALL(Customers!$P$12:$P$311,4))</f>
        <v/>
      </c>
    </row>
    <row r="24" customFormat="false" ht="15" hidden="false" customHeight="false" outlineLevel="0" collapsed="false">
      <c r="A24" s="50" t="str">
        <f aca="false">IF($I24="","",CHOOSE(INT($I24/1000)+1,"Monday","Tuesday","Wednesday","Thursday","Friday","Saturday","Sunday"))</f>
        <v/>
      </c>
      <c r="B24" s="51" t="str">
        <f aca="false">IF($I24="","",WeekMon+INT($I24/1000))</f>
        <v/>
      </c>
      <c r="C24" s="52" t="str">
        <f aca="false">IF($I24="","",INDEX(Customers!$A$12:$A$311,MOD($I24,1000))&amp;"")</f>
        <v/>
      </c>
      <c r="D24" s="53" t="str">
        <f aca="false">IF($I24="","",INDEX(Customers!$N$12:$N$311,MOD($I24,1000))/100)</f>
        <v/>
      </c>
      <c r="E24" s="54" t="str">
        <f aca="false">IF($I24="","",INDEX(Customers!$C$12:$C$311,MOD($I24,1000))&amp;"")</f>
        <v/>
      </c>
      <c r="F24" s="54"/>
      <c r="I24" s="55" t="str">
        <f aca="false">IF(5&gt;COUNT(Customers!$P$12:$P$311),"",SMALL(Customers!$P$12:$P$311,5))</f>
        <v/>
      </c>
    </row>
    <row r="25" customFormat="false" ht="15" hidden="false" customHeight="false" outlineLevel="0" collapsed="false">
      <c r="A25" s="50" t="str">
        <f aca="false">IF($I25="","",CHOOSE(INT($I25/1000)+1,"Monday","Tuesday","Wednesday","Thursday","Friday","Saturday","Sunday"))</f>
        <v/>
      </c>
      <c r="B25" s="51" t="str">
        <f aca="false">IF($I25="","",WeekMon+INT($I25/1000))</f>
        <v/>
      </c>
      <c r="C25" s="52" t="str">
        <f aca="false">IF($I25="","",INDEX(Customers!$A$12:$A$311,MOD($I25,1000))&amp;"")</f>
        <v/>
      </c>
      <c r="D25" s="53" t="str">
        <f aca="false">IF($I25="","",INDEX(Customers!$N$12:$N$311,MOD($I25,1000))/100)</f>
        <v/>
      </c>
      <c r="E25" s="54" t="str">
        <f aca="false">IF($I25="","",INDEX(Customers!$C$12:$C$311,MOD($I25,1000))&amp;"")</f>
        <v/>
      </c>
      <c r="F25" s="54"/>
      <c r="I25" s="55" t="str">
        <f aca="false">IF(6&gt;COUNT(Customers!$P$12:$P$311),"",SMALL(Customers!$P$12:$P$311,6))</f>
        <v/>
      </c>
    </row>
    <row r="26" customFormat="false" ht="15" hidden="false" customHeight="false" outlineLevel="0" collapsed="false">
      <c r="A26" s="50" t="str">
        <f aca="false">IF($I26="","",CHOOSE(INT($I26/1000)+1,"Monday","Tuesday","Wednesday","Thursday","Friday","Saturday","Sunday"))</f>
        <v/>
      </c>
      <c r="B26" s="51" t="str">
        <f aca="false">IF($I26="","",WeekMon+INT($I26/1000))</f>
        <v/>
      </c>
      <c r="C26" s="52" t="str">
        <f aca="false">IF($I26="","",INDEX(Customers!$A$12:$A$311,MOD($I26,1000))&amp;"")</f>
        <v/>
      </c>
      <c r="D26" s="53" t="str">
        <f aca="false">IF($I26="","",INDEX(Customers!$N$12:$N$311,MOD($I26,1000))/100)</f>
        <v/>
      </c>
      <c r="E26" s="54" t="str">
        <f aca="false">IF($I26="","",INDEX(Customers!$C$12:$C$311,MOD($I26,1000))&amp;"")</f>
        <v/>
      </c>
      <c r="F26" s="54"/>
      <c r="I26" s="55" t="str">
        <f aca="false">IF(7&gt;COUNT(Customers!$P$12:$P$311),"",SMALL(Customers!$P$12:$P$311,7))</f>
        <v/>
      </c>
    </row>
    <row r="27" customFormat="false" ht="15" hidden="false" customHeight="false" outlineLevel="0" collapsed="false">
      <c r="A27" s="50" t="str">
        <f aca="false">IF($I27="","",CHOOSE(INT($I27/1000)+1,"Monday","Tuesday","Wednesday","Thursday","Friday","Saturday","Sunday"))</f>
        <v/>
      </c>
      <c r="B27" s="51" t="str">
        <f aca="false">IF($I27="","",WeekMon+INT($I27/1000))</f>
        <v/>
      </c>
      <c r="C27" s="52" t="str">
        <f aca="false">IF($I27="","",INDEX(Customers!$A$12:$A$311,MOD($I27,1000))&amp;"")</f>
        <v/>
      </c>
      <c r="D27" s="53" t="str">
        <f aca="false">IF($I27="","",INDEX(Customers!$N$12:$N$311,MOD($I27,1000))/100)</f>
        <v/>
      </c>
      <c r="E27" s="54" t="str">
        <f aca="false">IF($I27="","",INDEX(Customers!$C$12:$C$311,MOD($I27,1000))&amp;"")</f>
        <v/>
      </c>
      <c r="F27" s="54"/>
      <c r="I27" s="55" t="str">
        <f aca="false">IF(8&gt;COUNT(Customers!$P$12:$P$311),"",SMALL(Customers!$P$12:$P$311,8))</f>
        <v/>
      </c>
    </row>
    <row r="28" customFormat="false" ht="15" hidden="false" customHeight="false" outlineLevel="0" collapsed="false">
      <c r="A28" s="50" t="str">
        <f aca="false">IF($I28="","",CHOOSE(INT($I28/1000)+1,"Monday","Tuesday","Wednesday","Thursday","Friday","Saturday","Sunday"))</f>
        <v/>
      </c>
      <c r="B28" s="51" t="str">
        <f aca="false">IF($I28="","",WeekMon+INT($I28/1000))</f>
        <v/>
      </c>
      <c r="C28" s="52" t="str">
        <f aca="false">IF($I28="","",INDEX(Customers!$A$12:$A$311,MOD($I28,1000))&amp;"")</f>
        <v/>
      </c>
      <c r="D28" s="53" t="str">
        <f aca="false">IF($I28="","",INDEX(Customers!$N$12:$N$311,MOD($I28,1000))/100)</f>
        <v/>
      </c>
      <c r="E28" s="54" t="str">
        <f aca="false">IF($I28="","",INDEX(Customers!$C$12:$C$311,MOD($I28,1000))&amp;"")</f>
        <v/>
      </c>
      <c r="F28" s="54"/>
      <c r="I28" s="55" t="str">
        <f aca="false">IF(9&gt;COUNT(Customers!$P$12:$P$311),"",SMALL(Customers!$P$12:$P$311,9))</f>
        <v/>
      </c>
    </row>
    <row r="29" customFormat="false" ht="15" hidden="false" customHeight="false" outlineLevel="0" collapsed="false">
      <c r="A29" s="50" t="str">
        <f aca="false">IF($I29="","",CHOOSE(INT($I29/1000)+1,"Monday","Tuesday","Wednesday","Thursday","Friday","Saturday","Sunday"))</f>
        <v/>
      </c>
      <c r="B29" s="51" t="str">
        <f aca="false">IF($I29="","",WeekMon+INT($I29/1000))</f>
        <v/>
      </c>
      <c r="C29" s="52" t="str">
        <f aca="false">IF($I29="","",INDEX(Customers!$A$12:$A$311,MOD($I29,1000))&amp;"")</f>
        <v/>
      </c>
      <c r="D29" s="53" t="str">
        <f aca="false">IF($I29="","",INDEX(Customers!$N$12:$N$311,MOD($I29,1000))/100)</f>
        <v/>
      </c>
      <c r="E29" s="54" t="str">
        <f aca="false">IF($I29="","",INDEX(Customers!$C$12:$C$311,MOD($I29,1000))&amp;"")</f>
        <v/>
      </c>
      <c r="F29" s="54"/>
      <c r="I29" s="55" t="str">
        <f aca="false">IF(10&gt;COUNT(Customers!$P$12:$P$311),"",SMALL(Customers!$P$12:$P$311,10))</f>
        <v/>
      </c>
    </row>
    <row r="30" customFormat="false" ht="15" hidden="false" customHeight="false" outlineLevel="0" collapsed="false">
      <c r="A30" s="50" t="str">
        <f aca="false">IF($I30="","",CHOOSE(INT($I30/1000)+1,"Monday","Tuesday","Wednesday","Thursday","Friday","Saturday","Sunday"))</f>
        <v/>
      </c>
      <c r="B30" s="51" t="str">
        <f aca="false">IF($I30="","",WeekMon+INT($I30/1000))</f>
        <v/>
      </c>
      <c r="C30" s="52" t="str">
        <f aca="false">IF($I30="","",INDEX(Customers!$A$12:$A$311,MOD($I30,1000))&amp;"")</f>
        <v/>
      </c>
      <c r="D30" s="53" t="str">
        <f aca="false">IF($I30="","",INDEX(Customers!$N$12:$N$311,MOD($I30,1000))/100)</f>
        <v/>
      </c>
      <c r="E30" s="54" t="str">
        <f aca="false">IF($I30="","",INDEX(Customers!$C$12:$C$311,MOD($I30,1000))&amp;"")</f>
        <v/>
      </c>
      <c r="F30" s="54"/>
      <c r="I30" s="55" t="str">
        <f aca="false">IF(11&gt;COUNT(Customers!$P$12:$P$311),"",SMALL(Customers!$P$12:$P$311,11))</f>
        <v/>
      </c>
    </row>
    <row r="31" customFormat="false" ht="15" hidden="false" customHeight="false" outlineLevel="0" collapsed="false">
      <c r="A31" s="50" t="str">
        <f aca="false">IF($I31="","",CHOOSE(INT($I31/1000)+1,"Monday","Tuesday","Wednesday","Thursday","Friday","Saturday","Sunday"))</f>
        <v/>
      </c>
      <c r="B31" s="51" t="str">
        <f aca="false">IF($I31="","",WeekMon+INT($I31/1000))</f>
        <v/>
      </c>
      <c r="C31" s="52" t="str">
        <f aca="false">IF($I31="","",INDEX(Customers!$A$12:$A$311,MOD($I31,1000))&amp;"")</f>
        <v/>
      </c>
      <c r="D31" s="53" t="str">
        <f aca="false">IF($I31="","",INDEX(Customers!$N$12:$N$311,MOD($I31,1000))/100)</f>
        <v/>
      </c>
      <c r="E31" s="54" t="str">
        <f aca="false">IF($I31="","",INDEX(Customers!$C$12:$C$311,MOD($I31,1000))&amp;"")</f>
        <v/>
      </c>
      <c r="F31" s="54"/>
      <c r="I31" s="55" t="str">
        <f aca="false">IF(12&gt;COUNT(Customers!$P$12:$P$311),"",SMALL(Customers!$P$12:$P$311,12))</f>
        <v/>
      </c>
    </row>
    <row r="32" customFormat="false" ht="15" hidden="false" customHeight="false" outlineLevel="0" collapsed="false">
      <c r="A32" s="50" t="str">
        <f aca="false">IF($I32="","",CHOOSE(INT($I32/1000)+1,"Monday","Tuesday","Wednesday","Thursday","Friday","Saturday","Sunday"))</f>
        <v/>
      </c>
      <c r="B32" s="51" t="str">
        <f aca="false">IF($I32="","",WeekMon+INT($I32/1000))</f>
        <v/>
      </c>
      <c r="C32" s="52" t="str">
        <f aca="false">IF($I32="","",INDEX(Customers!$A$12:$A$311,MOD($I32,1000))&amp;"")</f>
        <v/>
      </c>
      <c r="D32" s="53" t="str">
        <f aca="false">IF($I32="","",INDEX(Customers!$N$12:$N$311,MOD($I32,1000))/100)</f>
        <v/>
      </c>
      <c r="E32" s="54" t="str">
        <f aca="false">IF($I32="","",INDEX(Customers!$C$12:$C$311,MOD($I32,1000))&amp;"")</f>
        <v/>
      </c>
      <c r="F32" s="54"/>
      <c r="I32" s="55" t="str">
        <f aca="false">IF(13&gt;COUNT(Customers!$P$12:$P$311),"",SMALL(Customers!$P$12:$P$311,13))</f>
        <v/>
      </c>
    </row>
    <row r="33" customFormat="false" ht="15" hidden="false" customHeight="false" outlineLevel="0" collapsed="false">
      <c r="A33" s="50" t="str">
        <f aca="false">IF($I33="","",CHOOSE(INT($I33/1000)+1,"Monday","Tuesday","Wednesday","Thursday","Friday","Saturday","Sunday"))</f>
        <v/>
      </c>
      <c r="B33" s="51" t="str">
        <f aca="false">IF($I33="","",WeekMon+INT($I33/1000))</f>
        <v/>
      </c>
      <c r="C33" s="52" t="str">
        <f aca="false">IF($I33="","",INDEX(Customers!$A$12:$A$311,MOD($I33,1000))&amp;"")</f>
        <v/>
      </c>
      <c r="D33" s="53" t="str">
        <f aca="false">IF($I33="","",INDEX(Customers!$N$12:$N$311,MOD($I33,1000))/100)</f>
        <v/>
      </c>
      <c r="E33" s="54" t="str">
        <f aca="false">IF($I33="","",INDEX(Customers!$C$12:$C$311,MOD($I33,1000))&amp;"")</f>
        <v/>
      </c>
      <c r="F33" s="54"/>
      <c r="I33" s="55" t="str">
        <f aca="false">IF(14&gt;COUNT(Customers!$P$12:$P$311),"",SMALL(Customers!$P$12:$P$311,14))</f>
        <v/>
      </c>
    </row>
    <row r="34" customFormat="false" ht="15" hidden="false" customHeight="false" outlineLevel="0" collapsed="false">
      <c r="A34" s="50" t="str">
        <f aca="false">IF($I34="","",CHOOSE(INT($I34/1000)+1,"Monday","Tuesday","Wednesday","Thursday","Friday","Saturday","Sunday"))</f>
        <v/>
      </c>
      <c r="B34" s="51" t="str">
        <f aca="false">IF($I34="","",WeekMon+INT($I34/1000))</f>
        <v/>
      </c>
      <c r="C34" s="52" t="str">
        <f aca="false">IF($I34="","",INDEX(Customers!$A$12:$A$311,MOD($I34,1000))&amp;"")</f>
        <v/>
      </c>
      <c r="D34" s="53" t="str">
        <f aca="false">IF($I34="","",INDEX(Customers!$N$12:$N$311,MOD($I34,1000))/100)</f>
        <v/>
      </c>
      <c r="E34" s="54" t="str">
        <f aca="false">IF($I34="","",INDEX(Customers!$C$12:$C$311,MOD($I34,1000))&amp;"")</f>
        <v/>
      </c>
      <c r="F34" s="54"/>
      <c r="I34" s="55" t="str">
        <f aca="false">IF(15&gt;COUNT(Customers!$P$12:$P$311),"",SMALL(Customers!$P$12:$P$311,15))</f>
        <v/>
      </c>
    </row>
    <row r="35" customFormat="false" ht="15" hidden="false" customHeight="false" outlineLevel="0" collapsed="false">
      <c r="A35" s="50" t="str">
        <f aca="false">IF($I35="","",CHOOSE(INT($I35/1000)+1,"Monday","Tuesday","Wednesday","Thursday","Friday","Saturday","Sunday"))</f>
        <v/>
      </c>
      <c r="B35" s="51" t="str">
        <f aca="false">IF($I35="","",WeekMon+INT($I35/1000))</f>
        <v/>
      </c>
      <c r="C35" s="52" t="str">
        <f aca="false">IF($I35="","",INDEX(Customers!$A$12:$A$311,MOD($I35,1000))&amp;"")</f>
        <v/>
      </c>
      <c r="D35" s="53" t="str">
        <f aca="false">IF($I35="","",INDEX(Customers!$N$12:$N$311,MOD($I35,1000))/100)</f>
        <v/>
      </c>
      <c r="E35" s="54" t="str">
        <f aca="false">IF($I35="","",INDEX(Customers!$C$12:$C$311,MOD($I35,1000))&amp;"")</f>
        <v/>
      </c>
      <c r="F35" s="54"/>
      <c r="I35" s="55" t="str">
        <f aca="false">IF(16&gt;COUNT(Customers!$P$12:$P$311),"",SMALL(Customers!$P$12:$P$311,16))</f>
        <v/>
      </c>
    </row>
    <row r="36" customFormat="false" ht="15" hidden="false" customHeight="false" outlineLevel="0" collapsed="false">
      <c r="A36" s="50" t="str">
        <f aca="false">IF($I36="","",CHOOSE(INT($I36/1000)+1,"Monday","Tuesday","Wednesday","Thursday","Friday","Saturday","Sunday"))</f>
        <v/>
      </c>
      <c r="B36" s="51" t="str">
        <f aca="false">IF($I36="","",WeekMon+INT($I36/1000))</f>
        <v/>
      </c>
      <c r="C36" s="52" t="str">
        <f aca="false">IF($I36="","",INDEX(Customers!$A$12:$A$311,MOD($I36,1000))&amp;"")</f>
        <v/>
      </c>
      <c r="D36" s="53" t="str">
        <f aca="false">IF($I36="","",INDEX(Customers!$N$12:$N$311,MOD($I36,1000))/100)</f>
        <v/>
      </c>
      <c r="E36" s="54" t="str">
        <f aca="false">IF($I36="","",INDEX(Customers!$C$12:$C$311,MOD($I36,1000))&amp;"")</f>
        <v/>
      </c>
      <c r="F36" s="54"/>
      <c r="I36" s="55" t="str">
        <f aca="false">IF(17&gt;COUNT(Customers!$P$12:$P$311),"",SMALL(Customers!$P$12:$P$311,17))</f>
        <v/>
      </c>
    </row>
    <row r="37" customFormat="false" ht="15" hidden="false" customHeight="false" outlineLevel="0" collapsed="false">
      <c r="A37" s="50" t="str">
        <f aca="false">IF($I37="","",CHOOSE(INT($I37/1000)+1,"Monday","Tuesday","Wednesday","Thursday","Friday","Saturday","Sunday"))</f>
        <v/>
      </c>
      <c r="B37" s="51" t="str">
        <f aca="false">IF($I37="","",WeekMon+INT($I37/1000))</f>
        <v/>
      </c>
      <c r="C37" s="52" t="str">
        <f aca="false">IF($I37="","",INDEX(Customers!$A$12:$A$311,MOD($I37,1000))&amp;"")</f>
        <v/>
      </c>
      <c r="D37" s="53" t="str">
        <f aca="false">IF($I37="","",INDEX(Customers!$N$12:$N$311,MOD($I37,1000))/100)</f>
        <v/>
      </c>
      <c r="E37" s="54" t="str">
        <f aca="false">IF($I37="","",INDEX(Customers!$C$12:$C$311,MOD($I37,1000))&amp;"")</f>
        <v/>
      </c>
      <c r="F37" s="54"/>
      <c r="I37" s="55" t="str">
        <f aca="false">IF(18&gt;COUNT(Customers!$P$12:$P$311),"",SMALL(Customers!$P$12:$P$311,18))</f>
        <v/>
      </c>
    </row>
    <row r="38" customFormat="false" ht="15" hidden="false" customHeight="false" outlineLevel="0" collapsed="false">
      <c r="A38" s="50" t="str">
        <f aca="false">IF($I38="","",CHOOSE(INT($I38/1000)+1,"Monday","Tuesday","Wednesday","Thursday","Friday","Saturday","Sunday"))</f>
        <v/>
      </c>
      <c r="B38" s="51" t="str">
        <f aca="false">IF($I38="","",WeekMon+INT($I38/1000))</f>
        <v/>
      </c>
      <c r="C38" s="52" t="str">
        <f aca="false">IF($I38="","",INDEX(Customers!$A$12:$A$311,MOD($I38,1000))&amp;"")</f>
        <v/>
      </c>
      <c r="D38" s="53" t="str">
        <f aca="false">IF($I38="","",INDEX(Customers!$N$12:$N$311,MOD($I38,1000))/100)</f>
        <v/>
      </c>
      <c r="E38" s="54" t="str">
        <f aca="false">IF($I38="","",INDEX(Customers!$C$12:$C$311,MOD($I38,1000))&amp;"")</f>
        <v/>
      </c>
      <c r="F38" s="54"/>
      <c r="I38" s="55" t="str">
        <f aca="false">IF(19&gt;COUNT(Customers!$P$12:$P$311),"",SMALL(Customers!$P$12:$P$311,19))</f>
        <v/>
      </c>
    </row>
    <row r="39" customFormat="false" ht="15" hidden="false" customHeight="false" outlineLevel="0" collapsed="false">
      <c r="A39" s="50" t="str">
        <f aca="false">IF($I39="","",CHOOSE(INT($I39/1000)+1,"Monday","Tuesday","Wednesday","Thursday","Friday","Saturday","Sunday"))</f>
        <v/>
      </c>
      <c r="B39" s="51" t="str">
        <f aca="false">IF($I39="","",WeekMon+INT($I39/1000))</f>
        <v/>
      </c>
      <c r="C39" s="52" t="str">
        <f aca="false">IF($I39="","",INDEX(Customers!$A$12:$A$311,MOD($I39,1000))&amp;"")</f>
        <v/>
      </c>
      <c r="D39" s="53" t="str">
        <f aca="false">IF($I39="","",INDEX(Customers!$N$12:$N$311,MOD($I39,1000))/100)</f>
        <v/>
      </c>
      <c r="E39" s="54" t="str">
        <f aca="false">IF($I39="","",INDEX(Customers!$C$12:$C$311,MOD($I39,1000))&amp;"")</f>
        <v/>
      </c>
      <c r="F39" s="54"/>
      <c r="I39" s="55" t="str">
        <f aca="false">IF(20&gt;COUNT(Customers!$P$12:$P$311),"",SMALL(Customers!$P$12:$P$311,20))</f>
        <v/>
      </c>
    </row>
    <row r="40" customFormat="false" ht="15" hidden="false" customHeight="false" outlineLevel="0" collapsed="false">
      <c r="A40" s="50" t="str">
        <f aca="false">IF($I40="","",CHOOSE(INT($I40/1000)+1,"Monday","Tuesday","Wednesday","Thursday","Friday","Saturday","Sunday"))</f>
        <v/>
      </c>
      <c r="B40" s="51" t="str">
        <f aca="false">IF($I40="","",WeekMon+INT($I40/1000))</f>
        <v/>
      </c>
      <c r="C40" s="52" t="str">
        <f aca="false">IF($I40="","",INDEX(Customers!$A$12:$A$311,MOD($I40,1000))&amp;"")</f>
        <v/>
      </c>
      <c r="D40" s="53" t="str">
        <f aca="false">IF($I40="","",INDEX(Customers!$N$12:$N$311,MOD($I40,1000))/100)</f>
        <v/>
      </c>
      <c r="E40" s="54" t="str">
        <f aca="false">IF($I40="","",INDEX(Customers!$C$12:$C$311,MOD($I40,1000))&amp;"")</f>
        <v/>
      </c>
      <c r="F40" s="54"/>
      <c r="I40" s="55" t="str">
        <f aca="false">IF(21&gt;COUNT(Customers!$P$12:$P$311),"",SMALL(Customers!$P$12:$P$311,21))</f>
        <v/>
      </c>
    </row>
    <row r="41" customFormat="false" ht="15" hidden="false" customHeight="false" outlineLevel="0" collapsed="false">
      <c r="A41" s="50" t="str">
        <f aca="false">IF($I41="","",CHOOSE(INT($I41/1000)+1,"Monday","Tuesday","Wednesday","Thursday","Friday","Saturday","Sunday"))</f>
        <v/>
      </c>
      <c r="B41" s="51" t="str">
        <f aca="false">IF($I41="","",WeekMon+INT($I41/1000))</f>
        <v/>
      </c>
      <c r="C41" s="52" t="str">
        <f aca="false">IF($I41="","",INDEX(Customers!$A$12:$A$311,MOD($I41,1000))&amp;"")</f>
        <v/>
      </c>
      <c r="D41" s="53" t="str">
        <f aca="false">IF($I41="","",INDEX(Customers!$N$12:$N$311,MOD($I41,1000))/100)</f>
        <v/>
      </c>
      <c r="E41" s="54" t="str">
        <f aca="false">IF($I41="","",INDEX(Customers!$C$12:$C$311,MOD($I41,1000))&amp;"")</f>
        <v/>
      </c>
      <c r="F41" s="54"/>
      <c r="I41" s="55" t="str">
        <f aca="false">IF(22&gt;COUNT(Customers!$P$12:$P$311),"",SMALL(Customers!$P$12:$P$311,22))</f>
        <v/>
      </c>
    </row>
    <row r="42" customFormat="false" ht="15" hidden="false" customHeight="false" outlineLevel="0" collapsed="false">
      <c r="A42" s="50" t="str">
        <f aca="false">IF($I42="","",CHOOSE(INT($I42/1000)+1,"Monday","Tuesday","Wednesday","Thursday","Friday","Saturday","Sunday"))</f>
        <v/>
      </c>
      <c r="B42" s="51" t="str">
        <f aca="false">IF($I42="","",WeekMon+INT($I42/1000))</f>
        <v/>
      </c>
      <c r="C42" s="52" t="str">
        <f aca="false">IF($I42="","",INDEX(Customers!$A$12:$A$311,MOD($I42,1000))&amp;"")</f>
        <v/>
      </c>
      <c r="D42" s="53" t="str">
        <f aca="false">IF($I42="","",INDEX(Customers!$N$12:$N$311,MOD($I42,1000))/100)</f>
        <v/>
      </c>
      <c r="E42" s="54" t="str">
        <f aca="false">IF($I42="","",INDEX(Customers!$C$12:$C$311,MOD($I42,1000))&amp;"")</f>
        <v/>
      </c>
      <c r="F42" s="54"/>
      <c r="I42" s="55" t="str">
        <f aca="false">IF(23&gt;COUNT(Customers!$P$12:$P$311),"",SMALL(Customers!$P$12:$P$311,23))</f>
        <v/>
      </c>
    </row>
    <row r="43" customFormat="false" ht="15" hidden="false" customHeight="false" outlineLevel="0" collapsed="false">
      <c r="A43" s="50" t="str">
        <f aca="false">IF($I43="","",CHOOSE(INT($I43/1000)+1,"Monday","Tuesday","Wednesday","Thursday","Friday","Saturday","Sunday"))</f>
        <v/>
      </c>
      <c r="B43" s="51" t="str">
        <f aca="false">IF($I43="","",WeekMon+INT($I43/1000))</f>
        <v/>
      </c>
      <c r="C43" s="52" t="str">
        <f aca="false">IF($I43="","",INDEX(Customers!$A$12:$A$311,MOD($I43,1000))&amp;"")</f>
        <v/>
      </c>
      <c r="D43" s="53" t="str">
        <f aca="false">IF($I43="","",INDEX(Customers!$N$12:$N$311,MOD($I43,1000))/100)</f>
        <v/>
      </c>
      <c r="E43" s="54" t="str">
        <f aca="false">IF($I43="","",INDEX(Customers!$C$12:$C$311,MOD($I43,1000))&amp;"")</f>
        <v/>
      </c>
      <c r="F43" s="54"/>
      <c r="I43" s="55" t="str">
        <f aca="false">IF(24&gt;COUNT(Customers!$P$12:$P$311),"",SMALL(Customers!$P$12:$P$311,24))</f>
        <v/>
      </c>
    </row>
    <row r="44" customFormat="false" ht="15" hidden="false" customHeight="false" outlineLevel="0" collapsed="false">
      <c r="A44" s="50" t="str">
        <f aca="false">IF($I44="","",CHOOSE(INT($I44/1000)+1,"Monday","Tuesday","Wednesday","Thursday","Friday","Saturday","Sunday"))</f>
        <v/>
      </c>
      <c r="B44" s="51" t="str">
        <f aca="false">IF($I44="","",WeekMon+INT($I44/1000))</f>
        <v/>
      </c>
      <c r="C44" s="52" t="str">
        <f aca="false">IF($I44="","",INDEX(Customers!$A$12:$A$311,MOD($I44,1000))&amp;"")</f>
        <v/>
      </c>
      <c r="D44" s="53" t="str">
        <f aca="false">IF($I44="","",INDEX(Customers!$N$12:$N$311,MOD($I44,1000))/100)</f>
        <v/>
      </c>
      <c r="E44" s="54" t="str">
        <f aca="false">IF($I44="","",INDEX(Customers!$C$12:$C$311,MOD($I44,1000))&amp;"")</f>
        <v/>
      </c>
      <c r="F44" s="54"/>
      <c r="I44" s="55" t="str">
        <f aca="false">IF(25&gt;COUNT(Customers!$P$12:$P$311),"",SMALL(Customers!$P$12:$P$311,25))</f>
        <v/>
      </c>
    </row>
    <row r="45" customFormat="false" ht="15" hidden="false" customHeight="false" outlineLevel="0" collapsed="false">
      <c r="A45" s="50" t="str">
        <f aca="false">IF($I45="","",CHOOSE(INT($I45/1000)+1,"Monday","Tuesday","Wednesday","Thursday","Friday","Saturday","Sunday"))</f>
        <v/>
      </c>
      <c r="B45" s="51" t="str">
        <f aca="false">IF($I45="","",WeekMon+INT($I45/1000))</f>
        <v/>
      </c>
      <c r="C45" s="52" t="str">
        <f aca="false">IF($I45="","",INDEX(Customers!$A$12:$A$311,MOD($I45,1000))&amp;"")</f>
        <v/>
      </c>
      <c r="D45" s="53" t="str">
        <f aca="false">IF($I45="","",INDEX(Customers!$N$12:$N$311,MOD($I45,1000))/100)</f>
        <v/>
      </c>
      <c r="E45" s="54" t="str">
        <f aca="false">IF($I45="","",INDEX(Customers!$C$12:$C$311,MOD($I45,1000))&amp;"")</f>
        <v/>
      </c>
      <c r="F45" s="54"/>
      <c r="I45" s="55" t="str">
        <f aca="false">IF(26&gt;COUNT(Customers!$P$12:$P$311),"",SMALL(Customers!$P$12:$P$311,26))</f>
        <v/>
      </c>
    </row>
    <row r="46" customFormat="false" ht="15" hidden="false" customHeight="false" outlineLevel="0" collapsed="false">
      <c r="A46" s="50" t="str">
        <f aca="false">IF($I46="","",CHOOSE(INT($I46/1000)+1,"Monday","Tuesday","Wednesday","Thursday","Friday","Saturday","Sunday"))</f>
        <v/>
      </c>
      <c r="B46" s="51" t="str">
        <f aca="false">IF($I46="","",WeekMon+INT($I46/1000))</f>
        <v/>
      </c>
      <c r="C46" s="52" t="str">
        <f aca="false">IF($I46="","",INDEX(Customers!$A$12:$A$311,MOD($I46,1000))&amp;"")</f>
        <v/>
      </c>
      <c r="D46" s="53" t="str">
        <f aca="false">IF($I46="","",INDEX(Customers!$N$12:$N$311,MOD($I46,1000))/100)</f>
        <v/>
      </c>
      <c r="E46" s="54" t="str">
        <f aca="false">IF($I46="","",INDEX(Customers!$C$12:$C$311,MOD($I46,1000))&amp;"")</f>
        <v/>
      </c>
      <c r="F46" s="54"/>
      <c r="I46" s="55" t="str">
        <f aca="false">IF(27&gt;COUNT(Customers!$P$12:$P$311),"",SMALL(Customers!$P$12:$P$311,27))</f>
        <v/>
      </c>
    </row>
    <row r="47" customFormat="false" ht="15" hidden="false" customHeight="false" outlineLevel="0" collapsed="false">
      <c r="A47" s="50" t="str">
        <f aca="false">IF($I47="","",CHOOSE(INT($I47/1000)+1,"Monday","Tuesday","Wednesday","Thursday","Friday","Saturday","Sunday"))</f>
        <v/>
      </c>
      <c r="B47" s="51" t="str">
        <f aca="false">IF($I47="","",WeekMon+INT($I47/1000))</f>
        <v/>
      </c>
      <c r="C47" s="52" t="str">
        <f aca="false">IF($I47="","",INDEX(Customers!$A$12:$A$311,MOD($I47,1000))&amp;"")</f>
        <v/>
      </c>
      <c r="D47" s="53" t="str">
        <f aca="false">IF($I47="","",INDEX(Customers!$N$12:$N$311,MOD($I47,1000))/100)</f>
        <v/>
      </c>
      <c r="E47" s="54" t="str">
        <f aca="false">IF($I47="","",INDEX(Customers!$C$12:$C$311,MOD($I47,1000))&amp;"")</f>
        <v/>
      </c>
      <c r="F47" s="54"/>
      <c r="I47" s="55" t="str">
        <f aca="false">IF(28&gt;COUNT(Customers!$P$12:$P$311),"",SMALL(Customers!$P$12:$P$311,28))</f>
        <v/>
      </c>
    </row>
    <row r="48" customFormat="false" ht="15" hidden="false" customHeight="false" outlineLevel="0" collapsed="false">
      <c r="A48" s="50" t="str">
        <f aca="false">IF($I48="","",CHOOSE(INT($I48/1000)+1,"Monday","Tuesday","Wednesday","Thursday","Friday","Saturday","Sunday"))</f>
        <v/>
      </c>
      <c r="B48" s="51" t="str">
        <f aca="false">IF($I48="","",WeekMon+INT($I48/1000))</f>
        <v/>
      </c>
      <c r="C48" s="52" t="str">
        <f aca="false">IF($I48="","",INDEX(Customers!$A$12:$A$311,MOD($I48,1000))&amp;"")</f>
        <v/>
      </c>
      <c r="D48" s="53" t="str">
        <f aca="false">IF($I48="","",INDEX(Customers!$N$12:$N$311,MOD($I48,1000))/100)</f>
        <v/>
      </c>
      <c r="E48" s="54" t="str">
        <f aca="false">IF($I48="","",INDEX(Customers!$C$12:$C$311,MOD($I48,1000))&amp;"")</f>
        <v/>
      </c>
      <c r="F48" s="54"/>
      <c r="I48" s="55" t="str">
        <f aca="false">IF(29&gt;COUNT(Customers!$P$12:$P$311),"",SMALL(Customers!$P$12:$P$311,29))</f>
        <v/>
      </c>
    </row>
    <row r="49" customFormat="false" ht="15" hidden="false" customHeight="false" outlineLevel="0" collapsed="false">
      <c r="A49" s="50" t="str">
        <f aca="false">IF($I49="","",CHOOSE(INT($I49/1000)+1,"Monday","Tuesday","Wednesday","Thursday","Friday","Saturday","Sunday"))</f>
        <v/>
      </c>
      <c r="B49" s="51" t="str">
        <f aca="false">IF($I49="","",WeekMon+INT($I49/1000))</f>
        <v/>
      </c>
      <c r="C49" s="52" t="str">
        <f aca="false">IF($I49="","",INDEX(Customers!$A$12:$A$311,MOD($I49,1000))&amp;"")</f>
        <v/>
      </c>
      <c r="D49" s="53" t="str">
        <f aca="false">IF($I49="","",INDEX(Customers!$N$12:$N$311,MOD($I49,1000))/100)</f>
        <v/>
      </c>
      <c r="E49" s="54" t="str">
        <f aca="false">IF($I49="","",INDEX(Customers!$C$12:$C$311,MOD($I49,1000))&amp;"")</f>
        <v/>
      </c>
      <c r="F49" s="54"/>
      <c r="I49" s="55" t="str">
        <f aca="false">IF(30&gt;COUNT(Customers!$P$12:$P$311),"",SMALL(Customers!$P$12:$P$311,30))</f>
        <v/>
      </c>
    </row>
    <row r="50" customFormat="false" ht="15" hidden="false" customHeight="false" outlineLevel="0" collapsed="false">
      <c r="A50" s="50" t="str">
        <f aca="false">IF($I50="","",CHOOSE(INT($I50/1000)+1,"Monday","Tuesday","Wednesday","Thursday","Friday","Saturday","Sunday"))</f>
        <v/>
      </c>
      <c r="B50" s="51" t="str">
        <f aca="false">IF($I50="","",WeekMon+INT($I50/1000))</f>
        <v/>
      </c>
      <c r="C50" s="52" t="str">
        <f aca="false">IF($I50="","",INDEX(Customers!$A$12:$A$311,MOD($I50,1000))&amp;"")</f>
        <v/>
      </c>
      <c r="D50" s="53" t="str">
        <f aca="false">IF($I50="","",INDEX(Customers!$N$12:$N$311,MOD($I50,1000))/100)</f>
        <v/>
      </c>
      <c r="E50" s="54" t="str">
        <f aca="false">IF($I50="","",INDEX(Customers!$C$12:$C$311,MOD($I50,1000))&amp;"")</f>
        <v/>
      </c>
      <c r="F50" s="54"/>
      <c r="I50" s="55" t="str">
        <f aca="false">IF(31&gt;COUNT(Customers!$P$12:$P$311),"",SMALL(Customers!$P$12:$P$311,31))</f>
        <v/>
      </c>
    </row>
    <row r="51" customFormat="false" ht="15" hidden="false" customHeight="false" outlineLevel="0" collapsed="false">
      <c r="A51" s="50" t="str">
        <f aca="false">IF($I51="","",CHOOSE(INT($I51/1000)+1,"Monday","Tuesday","Wednesday","Thursday","Friday","Saturday","Sunday"))</f>
        <v/>
      </c>
      <c r="B51" s="51" t="str">
        <f aca="false">IF($I51="","",WeekMon+INT($I51/1000))</f>
        <v/>
      </c>
      <c r="C51" s="52" t="str">
        <f aca="false">IF($I51="","",INDEX(Customers!$A$12:$A$311,MOD($I51,1000))&amp;"")</f>
        <v/>
      </c>
      <c r="D51" s="53" t="str">
        <f aca="false">IF($I51="","",INDEX(Customers!$N$12:$N$311,MOD($I51,1000))/100)</f>
        <v/>
      </c>
      <c r="E51" s="54" t="str">
        <f aca="false">IF($I51="","",INDEX(Customers!$C$12:$C$311,MOD($I51,1000))&amp;"")</f>
        <v/>
      </c>
      <c r="F51" s="54"/>
      <c r="I51" s="55" t="str">
        <f aca="false">IF(32&gt;COUNT(Customers!$P$12:$P$311),"",SMALL(Customers!$P$12:$P$311,32))</f>
        <v/>
      </c>
    </row>
    <row r="52" customFormat="false" ht="15" hidden="false" customHeight="false" outlineLevel="0" collapsed="false">
      <c r="A52" s="50" t="str">
        <f aca="false">IF($I52="","",CHOOSE(INT($I52/1000)+1,"Monday","Tuesday","Wednesday","Thursday","Friday","Saturday","Sunday"))</f>
        <v/>
      </c>
      <c r="B52" s="51" t="str">
        <f aca="false">IF($I52="","",WeekMon+INT($I52/1000))</f>
        <v/>
      </c>
      <c r="C52" s="52" t="str">
        <f aca="false">IF($I52="","",INDEX(Customers!$A$12:$A$311,MOD($I52,1000))&amp;"")</f>
        <v/>
      </c>
      <c r="D52" s="53" t="str">
        <f aca="false">IF($I52="","",INDEX(Customers!$N$12:$N$311,MOD($I52,1000))/100)</f>
        <v/>
      </c>
      <c r="E52" s="54" t="str">
        <f aca="false">IF($I52="","",INDEX(Customers!$C$12:$C$311,MOD($I52,1000))&amp;"")</f>
        <v/>
      </c>
      <c r="F52" s="54"/>
      <c r="I52" s="55" t="str">
        <f aca="false">IF(33&gt;COUNT(Customers!$P$12:$P$311),"",SMALL(Customers!$P$12:$P$311,33))</f>
        <v/>
      </c>
    </row>
    <row r="53" customFormat="false" ht="15" hidden="false" customHeight="false" outlineLevel="0" collapsed="false">
      <c r="A53" s="50" t="str">
        <f aca="false">IF($I53="","",CHOOSE(INT($I53/1000)+1,"Monday","Tuesday","Wednesday","Thursday","Friday","Saturday","Sunday"))</f>
        <v/>
      </c>
      <c r="B53" s="51" t="str">
        <f aca="false">IF($I53="","",WeekMon+INT($I53/1000))</f>
        <v/>
      </c>
      <c r="C53" s="52" t="str">
        <f aca="false">IF($I53="","",INDEX(Customers!$A$12:$A$311,MOD($I53,1000))&amp;"")</f>
        <v/>
      </c>
      <c r="D53" s="53" t="str">
        <f aca="false">IF($I53="","",INDEX(Customers!$N$12:$N$311,MOD($I53,1000))/100)</f>
        <v/>
      </c>
      <c r="E53" s="54" t="str">
        <f aca="false">IF($I53="","",INDEX(Customers!$C$12:$C$311,MOD($I53,1000))&amp;"")</f>
        <v/>
      </c>
      <c r="F53" s="54"/>
      <c r="I53" s="55" t="str">
        <f aca="false">IF(34&gt;COUNT(Customers!$P$12:$P$311),"",SMALL(Customers!$P$12:$P$311,34))</f>
        <v/>
      </c>
    </row>
    <row r="54" customFormat="false" ht="15" hidden="false" customHeight="false" outlineLevel="0" collapsed="false">
      <c r="A54" s="50" t="str">
        <f aca="false">IF($I54="","",CHOOSE(INT($I54/1000)+1,"Monday","Tuesday","Wednesday","Thursday","Friday","Saturday","Sunday"))</f>
        <v/>
      </c>
      <c r="B54" s="51" t="str">
        <f aca="false">IF($I54="","",WeekMon+INT($I54/1000))</f>
        <v/>
      </c>
      <c r="C54" s="52" t="str">
        <f aca="false">IF($I54="","",INDEX(Customers!$A$12:$A$311,MOD($I54,1000))&amp;"")</f>
        <v/>
      </c>
      <c r="D54" s="53" t="str">
        <f aca="false">IF($I54="","",INDEX(Customers!$N$12:$N$311,MOD($I54,1000))/100)</f>
        <v/>
      </c>
      <c r="E54" s="54" t="str">
        <f aca="false">IF($I54="","",INDEX(Customers!$C$12:$C$311,MOD($I54,1000))&amp;"")</f>
        <v/>
      </c>
      <c r="F54" s="54"/>
      <c r="I54" s="55" t="str">
        <f aca="false">IF(35&gt;COUNT(Customers!$P$12:$P$311),"",SMALL(Customers!$P$12:$P$311,35))</f>
        <v/>
      </c>
    </row>
    <row r="55" customFormat="false" ht="15" hidden="false" customHeight="false" outlineLevel="0" collapsed="false">
      <c r="A55" s="50" t="str">
        <f aca="false">IF($I55="","",CHOOSE(INT($I55/1000)+1,"Monday","Tuesday","Wednesday","Thursday","Friday","Saturday","Sunday"))</f>
        <v/>
      </c>
      <c r="B55" s="51" t="str">
        <f aca="false">IF($I55="","",WeekMon+INT($I55/1000))</f>
        <v/>
      </c>
      <c r="C55" s="52" t="str">
        <f aca="false">IF($I55="","",INDEX(Customers!$A$12:$A$311,MOD($I55,1000))&amp;"")</f>
        <v/>
      </c>
      <c r="D55" s="53" t="str">
        <f aca="false">IF($I55="","",INDEX(Customers!$N$12:$N$311,MOD($I55,1000))/100)</f>
        <v/>
      </c>
      <c r="E55" s="54" t="str">
        <f aca="false">IF($I55="","",INDEX(Customers!$C$12:$C$311,MOD($I55,1000))&amp;"")</f>
        <v/>
      </c>
      <c r="F55" s="54"/>
      <c r="I55" s="55" t="str">
        <f aca="false">IF(36&gt;COUNT(Customers!$P$12:$P$311),"",SMALL(Customers!$P$12:$P$311,36))</f>
        <v/>
      </c>
    </row>
    <row r="56" customFormat="false" ht="15" hidden="false" customHeight="false" outlineLevel="0" collapsed="false">
      <c r="A56" s="50" t="str">
        <f aca="false">IF($I56="","",CHOOSE(INT($I56/1000)+1,"Monday","Tuesday","Wednesday","Thursday","Friday","Saturday","Sunday"))</f>
        <v/>
      </c>
      <c r="B56" s="51" t="str">
        <f aca="false">IF($I56="","",WeekMon+INT($I56/1000))</f>
        <v/>
      </c>
      <c r="C56" s="52" t="str">
        <f aca="false">IF($I56="","",INDEX(Customers!$A$12:$A$311,MOD($I56,1000))&amp;"")</f>
        <v/>
      </c>
      <c r="D56" s="53" t="str">
        <f aca="false">IF($I56="","",INDEX(Customers!$N$12:$N$311,MOD($I56,1000))/100)</f>
        <v/>
      </c>
      <c r="E56" s="54" t="str">
        <f aca="false">IF($I56="","",INDEX(Customers!$C$12:$C$311,MOD($I56,1000))&amp;"")</f>
        <v/>
      </c>
      <c r="F56" s="54"/>
      <c r="I56" s="55" t="str">
        <f aca="false">IF(37&gt;COUNT(Customers!$P$12:$P$311),"",SMALL(Customers!$P$12:$P$311,37))</f>
        <v/>
      </c>
    </row>
    <row r="57" customFormat="false" ht="15" hidden="false" customHeight="false" outlineLevel="0" collapsed="false">
      <c r="A57" s="50" t="str">
        <f aca="false">IF($I57="","",CHOOSE(INT($I57/1000)+1,"Monday","Tuesday","Wednesday","Thursday","Friday","Saturday","Sunday"))</f>
        <v/>
      </c>
      <c r="B57" s="51" t="str">
        <f aca="false">IF($I57="","",WeekMon+INT($I57/1000))</f>
        <v/>
      </c>
      <c r="C57" s="52" t="str">
        <f aca="false">IF($I57="","",INDEX(Customers!$A$12:$A$311,MOD($I57,1000))&amp;"")</f>
        <v/>
      </c>
      <c r="D57" s="53" t="str">
        <f aca="false">IF($I57="","",INDEX(Customers!$N$12:$N$311,MOD($I57,1000))/100)</f>
        <v/>
      </c>
      <c r="E57" s="54" t="str">
        <f aca="false">IF($I57="","",INDEX(Customers!$C$12:$C$311,MOD($I57,1000))&amp;"")</f>
        <v/>
      </c>
      <c r="F57" s="54"/>
      <c r="I57" s="55" t="str">
        <f aca="false">IF(38&gt;COUNT(Customers!$P$12:$P$311),"",SMALL(Customers!$P$12:$P$311,38))</f>
        <v/>
      </c>
    </row>
    <row r="58" customFormat="false" ht="15" hidden="false" customHeight="false" outlineLevel="0" collapsed="false">
      <c r="A58" s="50" t="str">
        <f aca="false">IF($I58="","",CHOOSE(INT($I58/1000)+1,"Monday","Tuesday","Wednesday","Thursday","Friday","Saturday","Sunday"))</f>
        <v/>
      </c>
      <c r="B58" s="51" t="str">
        <f aca="false">IF($I58="","",WeekMon+INT($I58/1000))</f>
        <v/>
      </c>
      <c r="C58" s="52" t="str">
        <f aca="false">IF($I58="","",INDEX(Customers!$A$12:$A$311,MOD($I58,1000))&amp;"")</f>
        <v/>
      </c>
      <c r="D58" s="53" t="str">
        <f aca="false">IF($I58="","",INDEX(Customers!$N$12:$N$311,MOD($I58,1000))/100)</f>
        <v/>
      </c>
      <c r="E58" s="54" t="str">
        <f aca="false">IF($I58="","",INDEX(Customers!$C$12:$C$311,MOD($I58,1000))&amp;"")</f>
        <v/>
      </c>
      <c r="F58" s="54"/>
      <c r="I58" s="55" t="str">
        <f aca="false">IF(39&gt;COUNT(Customers!$P$12:$P$311),"",SMALL(Customers!$P$12:$P$311,39))</f>
        <v/>
      </c>
    </row>
    <row r="59" customFormat="false" ht="15" hidden="false" customHeight="false" outlineLevel="0" collapsed="false">
      <c r="A59" s="50" t="str">
        <f aca="false">IF($I59="","",CHOOSE(INT($I59/1000)+1,"Monday","Tuesday","Wednesday","Thursday","Friday","Saturday","Sunday"))</f>
        <v/>
      </c>
      <c r="B59" s="51" t="str">
        <f aca="false">IF($I59="","",WeekMon+INT($I59/1000))</f>
        <v/>
      </c>
      <c r="C59" s="52" t="str">
        <f aca="false">IF($I59="","",INDEX(Customers!$A$12:$A$311,MOD($I59,1000))&amp;"")</f>
        <v/>
      </c>
      <c r="D59" s="53" t="str">
        <f aca="false">IF($I59="","",INDEX(Customers!$N$12:$N$311,MOD($I59,1000))/100)</f>
        <v/>
      </c>
      <c r="E59" s="54" t="str">
        <f aca="false">IF($I59="","",INDEX(Customers!$C$12:$C$311,MOD($I59,1000))&amp;"")</f>
        <v/>
      </c>
      <c r="F59" s="54"/>
      <c r="I59" s="55" t="str">
        <f aca="false">IF(40&gt;COUNT(Customers!$P$12:$P$311),"",SMALL(Customers!$P$12:$P$311,40))</f>
        <v/>
      </c>
    </row>
    <row r="60" customFormat="false" ht="15" hidden="false" customHeight="false" outlineLevel="0" collapsed="false">
      <c r="A60" s="50" t="str">
        <f aca="false">IF($I60="","",CHOOSE(INT($I60/1000)+1,"Monday","Tuesday","Wednesday","Thursday","Friday","Saturday","Sunday"))</f>
        <v/>
      </c>
      <c r="B60" s="51" t="str">
        <f aca="false">IF($I60="","",WeekMon+INT($I60/1000))</f>
        <v/>
      </c>
      <c r="C60" s="52" t="str">
        <f aca="false">IF($I60="","",INDEX(Customers!$A$12:$A$311,MOD($I60,1000))&amp;"")</f>
        <v/>
      </c>
      <c r="D60" s="53" t="str">
        <f aca="false">IF($I60="","",INDEX(Customers!$N$12:$N$311,MOD($I60,1000))/100)</f>
        <v/>
      </c>
      <c r="E60" s="54" t="str">
        <f aca="false">IF($I60="","",INDEX(Customers!$C$12:$C$311,MOD($I60,1000))&amp;"")</f>
        <v/>
      </c>
      <c r="F60" s="54"/>
      <c r="I60" s="55" t="str">
        <f aca="false">IF(41&gt;COUNT(Customers!$P$12:$P$311),"",SMALL(Customers!$P$12:$P$311,41))</f>
        <v/>
      </c>
    </row>
    <row r="61" customFormat="false" ht="15" hidden="false" customHeight="false" outlineLevel="0" collapsed="false">
      <c r="A61" s="50" t="str">
        <f aca="false">IF($I61="","",CHOOSE(INT($I61/1000)+1,"Monday","Tuesday","Wednesday","Thursday","Friday","Saturday","Sunday"))</f>
        <v/>
      </c>
      <c r="B61" s="51" t="str">
        <f aca="false">IF($I61="","",WeekMon+INT($I61/1000))</f>
        <v/>
      </c>
      <c r="C61" s="52" t="str">
        <f aca="false">IF($I61="","",INDEX(Customers!$A$12:$A$311,MOD($I61,1000))&amp;"")</f>
        <v/>
      </c>
      <c r="D61" s="53" t="str">
        <f aca="false">IF($I61="","",INDEX(Customers!$N$12:$N$311,MOD($I61,1000))/100)</f>
        <v/>
      </c>
      <c r="E61" s="54" t="str">
        <f aca="false">IF($I61="","",INDEX(Customers!$C$12:$C$311,MOD($I61,1000))&amp;"")</f>
        <v/>
      </c>
      <c r="F61" s="54"/>
      <c r="I61" s="55" t="str">
        <f aca="false">IF(42&gt;COUNT(Customers!$P$12:$P$311),"",SMALL(Customers!$P$12:$P$311,42))</f>
        <v/>
      </c>
    </row>
    <row r="62" customFormat="false" ht="15" hidden="false" customHeight="false" outlineLevel="0" collapsed="false">
      <c r="A62" s="50" t="str">
        <f aca="false">IF($I62="","",CHOOSE(INT($I62/1000)+1,"Monday","Tuesday","Wednesday","Thursday","Friday","Saturday","Sunday"))</f>
        <v/>
      </c>
      <c r="B62" s="51" t="str">
        <f aca="false">IF($I62="","",WeekMon+INT($I62/1000))</f>
        <v/>
      </c>
      <c r="C62" s="52" t="str">
        <f aca="false">IF($I62="","",INDEX(Customers!$A$12:$A$311,MOD($I62,1000))&amp;"")</f>
        <v/>
      </c>
      <c r="D62" s="53" t="str">
        <f aca="false">IF($I62="","",INDEX(Customers!$N$12:$N$311,MOD($I62,1000))/100)</f>
        <v/>
      </c>
      <c r="E62" s="54" t="str">
        <f aca="false">IF($I62="","",INDEX(Customers!$C$12:$C$311,MOD($I62,1000))&amp;"")</f>
        <v/>
      </c>
      <c r="F62" s="54"/>
      <c r="I62" s="55" t="str">
        <f aca="false">IF(43&gt;COUNT(Customers!$P$12:$P$311),"",SMALL(Customers!$P$12:$P$311,43))</f>
        <v/>
      </c>
    </row>
    <row r="63" customFormat="false" ht="15" hidden="false" customHeight="false" outlineLevel="0" collapsed="false">
      <c r="A63" s="50" t="str">
        <f aca="false">IF($I63="","",CHOOSE(INT($I63/1000)+1,"Monday","Tuesday","Wednesday","Thursday","Friday","Saturday","Sunday"))</f>
        <v/>
      </c>
      <c r="B63" s="51" t="str">
        <f aca="false">IF($I63="","",WeekMon+INT($I63/1000))</f>
        <v/>
      </c>
      <c r="C63" s="52" t="str">
        <f aca="false">IF($I63="","",INDEX(Customers!$A$12:$A$311,MOD($I63,1000))&amp;"")</f>
        <v/>
      </c>
      <c r="D63" s="53" t="str">
        <f aca="false">IF($I63="","",INDEX(Customers!$N$12:$N$311,MOD($I63,1000))/100)</f>
        <v/>
      </c>
      <c r="E63" s="54" t="str">
        <f aca="false">IF($I63="","",INDEX(Customers!$C$12:$C$311,MOD($I63,1000))&amp;"")</f>
        <v/>
      </c>
      <c r="F63" s="54"/>
      <c r="I63" s="55" t="str">
        <f aca="false">IF(44&gt;COUNT(Customers!$P$12:$P$311),"",SMALL(Customers!$P$12:$P$311,44))</f>
        <v/>
      </c>
    </row>
    <row r="64" customFormat="false" ht="15" hidden="false" customHeight="false" outlineLevel="0" collapsed="false">
      <c r="A64" s="50" t="str">
        <f aca="false">IF($I64="","",CHOOSE(INT($I64/1000)+1,"Monday","Tuesday","Wednesday","Thursday","Friday","Saturday","Sunday"))</f>
        <v/>
      </c>
      <c r="B64" s="51" t="str">
        <f aca="false">IF($I64="","",WeekMon+INT($I64/1000))</f>
        <v/>
      </c>
      <c r="C64" s="52" t="str">
        <f aca="false">IF($I64="","",INDEX(Customers!$A$12:$A$311,MOD($I64,1000))&amp;"")</f>
        <v/>
      </c>
      <c r="D64" s="53" t="str">
        <f aca="false">IF($I64="","",INDEX(Customers!$N$12:$N$311,MOD($I64,1000))/100)</f>
        <v/>
      </c>
      <c r="E64" s="54" t="str">
        <f aca="false">IF($I64="","",INDEX(Customers!$C$12:$C$311,MOD($I64,1000))&amp;"")</f>
        <v/>
      </c>
      <c r="F64" s="54"/>
      <c r="I64" s="55" t="str">
        <f aca="false">IF(45&gt;COUNT(Customers!$P$12:$P$311),"",SMALL(Customers!$P$12:$P$311,45))</f>
        <v/>
      </c>
    </row>
    <row r="65" customFormat="false" ht="15" hidden="false" customHeight="false" outlineLevel="0" collapsed="false">
      <c r="A65" s="50" t="str">
        <f aca="false">IF($I65="","",CHOOSE(INT($I65/1000)+1,"Monday","Tuesday","Wednesday","Thursday","Friday","Saturday","Sunday"))</f>
        <v/>
      </c>
      <c r="B65" s="51" t="str">
        <f aca="false">IF($I65="","",WeekMon+INT($I65/1000))</f>
        <v/>
      </c>
      <c r="C65" s="52" t="str">
        <f aca="false">IF($I65="","",INDEX(Customers!$A$12:$A$311,MOD($I65,1000))&amp;"")</f>
        <v/>
      </c>
      <c r="D65" s="53" t="str">
        <f aca="false">IF($I65="","",INDEX(Customers!$N$12:$N$311,MOD($I65,1000))/100)</f>
        <v/>
      </c>
      <c r="E65" s="54" t="str">
        <f aca="false">IF($I65="","",INDEX(Customers!$C$12:$C$311,MOD($I65,1000))&amp;"")</f>
        <v/>
      </c>
      <c r="F65" s="54"/>
      <c r="I65" s="55" t="str">
        <f aca="false">IF(46&gt;COUNT(Customers!$P$12:$P$311),"",SMALL(Customers!$P$12:$P$311,46))</f>
        <v/>
      </c>
    </row>
    <row r="66" customFormat="false" ht="15" hidden="false" customHeight="false" outlineLevel="0" collapsed="false">
      <c r="A66" s="50" t="str">
        <f aca="false">IF($I66="","",CHOOSE(INT($I66/1000)+1,"Monday","Tuesday","Wednesday","Thursday","Friday","Saturday","Sunday"))</f>
        <v/>
      </c>
      <c r="B66" s="51" t="str">
        <f aca="false">IF($I66="","",WeekMon+INT($I66/1000))</f>
        <v/>
      </c>
      <c r="C66" s="52" t="str">
        <f aca="false">IF($I66="","",INDEX(Customers!$A$12:$A$311,MOD($I66,1000))&amp;"")</f>
        <v/>
      </c>
      <c r="D66" s="53" t="str">
        <f aca="false">IF($I66="","",INDEX(Customers!$N$12:$N$311,MOD($I66,1000))/100)</f>
        <v/>
      </c>
      <c r="E66" s="54" t="str">
        <f aca="false">IF($I66="","",INDEX(Customers!$C$12:$C$311,MOD($I66,1000))&amp;"")</f>
        <v/>
      </c>
      <c r="F66" s="54"/>
      <c r="I66" s="55" t="str">
        <f aca="false">IF(47&gt;COUNT(Customers!$P$12:$P$311),"",SMALL(Customers!$P$12:$P$311,47))</f>
        <v/>
      </c>
    </row>
    <row r="67" customFormat="false" ht="15" hidden="false" customHeight="false" outlineLevel="0" collapsed="false">
      <c r="A67" s="50" t="str">
        <f aca="false">IF($I67="","",CHOOSE(INT($I67/1000)+1,"Monday","Tuesday","Wednesday","Thursday","Friday","Saturday","Sunday"))</f>
        <v/>
      </c>
      <c r="B67" s="51" t="str">
        <f aca="false">IF($I67="","",WeekMon+INT($I67/1000))</f>
        <v/>
      </c>
      <c r="C67" s="52" t="str">
        <f aca="false">IF($I67="","",INDEX(Customers!$A$12:$A$311,MOD($I67,1000))&amp;"")</f>
        <v/>
      </c>
      <c r="D67" s="53" t="str">
        <f aca="false">IF($I67="","",INDEX(Customers!$N$12:$N$311,MOD($I67,1000))/100)</f>
        <v/>
      </c>
      <c r="E67" s="54" t="str">
        <f aca="false">IF($I67="","",INDEX(Customers!$C$12:$C$311,MOD($I67,1000))&amp;"")</f>
        <v/>
      </c>
      <c r="F67" s="54"/>
      <c r="I67" s="55" t="str">
        <f aca="false">IF(48&gt;COUNT(Customers!$P$12:$P$311),"",SMALL(Customers!$P$12:$P$311,48))</f>
        <v/>
      </c>
    </row>
    <row r="68" customFormat="false" ht="15" hidden="false" customHeight="false" outlineLevel="0" collapsed="false">
      <c r="A68" s="50" t="str">
        <f aca="false">IF($I68="","",CHOOSE(INT($I68/1000)+1,"Monday","Tuesday","Wednesday","Thursday","Friday","Saturday","Sunday"))</f>
        <v/>
      </c>
      <c r="B68" s="51" t="str">
        <f aca="false">IF($I68="","",WeekMon+INT($I68/1000))</f>
        <v/>
      </c>
      <c r="C68" s="52" t="str">
        <f aca="false">IF($I68="","",INDEX(Customers!$A$12:$A$311,MOD($I68,1000))&amp;"")</f>
        <v/>
      </c>
      <c r="D68" s="53" t="str">
        <f aca="false">IF($I68="","",INDEX(Customers!$N$12:$N$311,MOD($I68,1000))/100)</f>
        <v/>
      </c>
      <c r="E68" s="54" t="str">
        <f aca="false">IF($I68="","",INDEX(Customers!$C$12:$C$311,MOD($I68,1000))&amp;"")</f>
        <v/>
      </c>
      <c r="F68" s="54"/>
      <c r="I68" s="55" t="str">
        <f aca="false">IF(49&gt;COUNT(Customers!$P$12:$P$311),"",SMALL(Customers!$P$12:$P$311,49))</f>
        <v/>
      </c>
    </row>
    <row r="69" customFormat="false" ht="15" hidden="false" customHeight="false" outlineLevel="0" collapsed="false">
      <c r="A69" s="50" t="str">
        <f aca="false">IF($I69="","",CHOOSE(INT($I69/1000)+1,"Monday","Tuesday","Wednesday","Thursday","Friday","Saturday","Sunday"))</f>
        <v/>
      </c>
      <c r="B69" s="51" t="str">
        <f aca="false">IF($I69="","",WeekMon+INT($I69/1000))</f>
        <v/>
      </c>
      <c r="C69" s="52" t="str">
        <f aca="false">IF($I69="","",INDEX(Customers!$A$12:$A$311,MOD($I69,1000))&amp;"")</f>
        <v/>
      </c>
      <c r="D69" s="53" t="str">
        <f aca="false">IF($I69="","",INDEX(Customers!$N$12:$N$311,MOD($I69,1000))/100)</f>
        <v/>
      </c>
      <c r="E69" s="54" t="str">
        <f aca="false">IF($I69="","",INDEX(Customers!$C$12:$C$311,MOD($I69,1000))&amp;"")</f>
        <v/>
      </c>
      <c r="F69" s="54"/>
      <c r="I69" s="55" t="str">
        <f aca="false">IF(50&gt;COUNT(Customers!$P$12:$P$311),"",SMALL(Customers!$P$12:$P$311,50))</f>
        <v/>
      </c>
    </row>
    <row r="70" customFormat="false" ht="15" hidden="false" customHeight="false" outlineLevel="0" collapsed="false">
      <c r="A70" s="50" t="str">
        <f aca="false">IF($I70="","",CHOOSE(INT($I70/1000)+1,"Monday","Tuesday","Wednesday","Thursday","Friday","Saturday","Sunday"))</f>
        <v/>
      </c>
      <c r="B70" s="51" t="str">
        <f aca="false">IF($I70="","",WeekMon+INT($I70/1000))</f>
        <v/>
      </c>
      <c r="C70" s="52" t="str">
        <f aca="false">IF($I70="","",INDEX(Customers!$A$12:$A$311,MOD($I70,1000))&amp;"")</f>
        <v/>
      </c>
      <c r="D70" s="53" t="str">
        <f aca="false">IF($I70="","",INDEX(Customers!$N$12:$N$311,MOD($I70,1000))/100)</f>
        <v/>
      </c>
      <c r="E70" s="54" t="str">
        <f aca="false">IF($I70="","",INDEX(Customers!$C$12:$C$311,MOD($I70,1000))&amp;"")</f>
        <v/>
      </c>
      <c r="F70" s="54"/>
      <c r="I70" s="55" t="str">
        <f aca="false">IF(51&gt;COUNT(Customers!$P$12:$P$311),"",SMALL(Customers!$P$12:$P$311,51))</f>
        <v/>
      </c>
    </row>
    <row r="71" customFormat="false" ht="15" hidden="false" customHeight="false" outlineLevel="0" collapsed="false">
      <c r="A71" s="50" t="str">
        <f aca="false">IF($I71="","",CHOOSE(INT($I71/1000)+1,"Monday","Tuesday","Wednesday","Thursday","Friday","Saturday","Sunday"))</f>
        <v/>
      </c>
      <c r="B71" s="51" t="str">
        <f aca="false">IF($I71="","",WeekMon+INT($I71/1000))</f>
        <v/>
      </c>
      <c r="C71" s="52" t="str">
        <f aca="false">IF($I71="","",INDEX(Customers!$A$12:$A$311,MOD($I71,1000))&amp;"")</f>
        <v/>
      </c>
      <c r="D71" s="53" t="str">
        <f aca="false">IF($I71="","",INDEX(Customers!$N$12:$N$311,MOD($I71,1000))/100)</f>
        <v/>
      </c>
      <c r="E71" s="54" t="str">
        <f aca="false">IF($I71="","",INDEX(Customers!$C$12:$C$311,MOD($I71,1000))&amp;"")</f>
        <v/>
      </c>
      <c r="F71" s="54"/>
      <c r="I71" s="55" t="str">
        <f aca="false">IF(52&gt;COUNT(Customers!$P$12:$P$311),"",SMALL(Customers!$P$12:$P$311,52))</f>
        <v/>
      </c>
    </row>
    <row r="72" customFormat="false" ht="15" hidden="false" customHeight="false" outlineLevel="0" collapsed="false">
      <c r="A72" s="50" t="str">
        <f aca="false">IF($I72="","",CHOOSE(INT($I72/1000)+1,"Monday","Tuesday","Wednesday","Thursday","Friday","Saturday","Sunday"))</f>
        <v/>
      </c>
      <c r="B72" s="51" t="str">
        <f aca="false">IF($I72="","",WeekMon+INT($I72/1000))</f>
        <v/>
      </c>
      <c r="C72" s="52" t="str">
        <f aca="false">IF($I72="","",INDEX(Customers!$A$12:$A$311,MOD($I72,1000))&amp;"")</f>
        <v/>
      </c>
      <c r="D72" s="53" t="str">
        <f aca="false">IF($I72="","",INDEX(Customers!$N$12:$N$311,MOD($I72,1000))/100)</f>
        <v/>
      </c>
      <c r="E72" s="54" t="str">
        <f aca="false">IF($I72="","",INDEX(Customers!$C$12:$C$311,MOD($I72,1000))&amp;"")</f>
        <v/>
      </c>
      <c r="F72" s="54"/>
      <c r="I72" s="55" t="str">
        <f aca="false">IF(53&gt;COUNT(Customers!$P$12:$P$311),"",SMALL(Customers!$P$12:$P$311,53))</f>
        <v/>
      </c>
    </row>
    <row r="73" customFormat="false" ht="15" hidden="false" customHeight="false" outlineLevel="0" collapsed="false">
      <c r="A73" s="50" t="str">
        <f aca="false">IF($I73="","",CHOOSE(INT($I73/1000)+1,"Monday","Tuesday","Wednesday","Thursday","Friday","Saturday","Sunday"))</f>
        <v/>
      </c>
      <c r="B73" s="51" t="str">
        <f aca="false">IF($I73="","",WeekMon+INT($I73/1000))</f>
        <v/>
      </c>
      <c r="C73" s="52" t="str">
        <f aca="false">IF($I73="","",INDEX(Customers!$A$12:$A$311,MOD($I73,1000))&amp;"")</f>
        <v/>
      </c>
      <c r="D73" s="53" t="str">
        <f aca="false">IF($I73="","",INDEX(Customers!$N$12:$N$311,MOD($I73,1000))/100)</f>
        <v/>
      </c>
      <c r="E73" s="54" t="str">
        <f aca="false">IF($I73="","",INDEX(Customers!$C$12:$C$311,MOD($I73,1000))&amp;"")</f>
        <v/>
      </c>
      <c r="F73" s="54"/>
      <c r="I73" s="55" t="str">
        <f aca="false">IF(54&gt;COUNT(Customers!$P$12:$P$311),"",SMALL(Customers!$P$12:$P$311,54))</f>
        <v/>
      </c>
    </row>
    <row r="74" customFormat="false" ht="15" hidden="false" customHeight="false" outlineLevel="0" collapsed="false">
      <c r="A74" s="50" t="str">
        <f aca="false">IF($I74="","",CHOOSE(INT($I74/1000)+1,"Monday","Tuesday","Wednesday","Thursday","Friday","Saturday","Sunday"))</f>
        <v/>
      </c>
      <c r="B74" s="51" t="str">
        <f aca="false">IF($I74="","",WeekMon+INT($I74/1000))</f>
        <v/>
      </c>
      <c r="C74" s="52" t="str">
        <f aca="false">IF($I74="","",INDEX(Customers!$A$12:$A$311,MOD($I74,1000))&amp;"")</f>
        <v/>
      </c>
      <c r="D74" s="53" t="str">
        <f aca="false">IF($I74="","",INDEX(Customers!$N$12:$N$311,MOD($I74,1000))/100)</f>
        <v/>
      </c>
      <c r="E74" s="54" t="str">
        <f aca="false">IF($I74="","",INDEX(Customers!$C$12:$C$311,MOD($I74,1000))&amp;"")</f>
        <v/>
      </c>
      <c r="F74" s="54"/>
      <c r="I74" s="55" t="str">
        <f aca="false">IF(55&gt;COUNT(Customers!$P$12:$P$311),"",SMALL(Customers!$P$12:$P$311,55))</f>
        <v/>
      </c>
    </row>
    <row r="75" customFormat="false" ht="15" hidden="false" customHeight="false" outlineLevel="0" collapsed="false">
      <c r="A75" s="50" t="str">
        <f aca="false">IF($I75="","",CHOOSE(INT($I75/1000)+1,"Monday","Tuesday","Wednesday","Thursday","Friday","Saturday","Sunday"))</f>
        <v/>
      </c>
      <c r="B75" s="51" t="str">
        <f aca="false">IF($I75="","",WeekMon+INT($I75/1000))</f>
        <v/>
      </c>
      <c r="C75" s="52" t="str">
        <f aca="false">IF($I75="","",INDEX(Customers!$A$12:$A$311,MOD($I75,1000))&amp;"")</f>
        <v/>
      </c>
      <c r="D75" s="53" t="str">
        <f aca="false">IF($I75="","",INDEX(Customers!$N$12:$N$311,MOD($I75,1000))/100)</f>
        <v/>
      </c>
      <c r="E75" s="54" t="str">
        <f aca="false">IF($I75="","",INDEX(Customers!$C$12:$C$311,MOD($I75,1000))&amp;"")</f>
        <v/>
      </c>
      <c r="F75" s="54"/>
      <c r="I75" s="55" t="str">
        <f aca="false">IF(56&gt;COUNT(Customers!$P$12:$P$311),"",SMALL(Customers!$P$12:$P$311,56))</f>
        <v/>
      </c>
    </row>
    <row r="76" customFormat="false" ht="15" hidden="false" customHeight="false" outlineLevel="0" collapsed="false">
      <c r="A76" s="50" t="str">
        <f aca="false">IF($I76="","",CHOOSE(INT($I76/1000)+1,"Monday","Tuesday","Wednesday","Thursday","Friday","Saturday","Sunday"))</f>
        <v/>
      </c>
      <c r="B76" s="51" t="str">
        <f aca="false">IF($I76="","",WeekMon+INT($I76/1000))</f>
        <v/>
      </c>
      <c r="C76" s="52" t="str">
        <f aca="false">IF($I76="","",INDEX(Customers!$A$12:$A$311,MOD($I76,1000))&amp;"")</f>
        <v/>
      </c>
      <c r="D76" s="53" t="str">
        <f aca="false">IF($I76="","",INDEX(Customers!$N$12:$N$311,MOD($I76,1000))/100)</f>
        <v/>
      </c>
      <c r="E76" s="54" t="str">
        <f aca="false">IF($I76="","",INDEX(Customers!$C$12:$C$311,MOD($I76,1000))&amp;"")</f>
        <v/>
      </c>
      <c r="F76" s="54"/>
      <c r="I76" s="55" t="str">
        <f aca="false">IF(57&gt;COUNT(Customers!$P$12:$P$311),"",SMALL(Customers!$P$12:$P$311,57))</f>
        <v/>
      </c>
    </row>
    <row r="77" customFormat="false" ht="15" hidden="false" customHeight="false" outlineLevel="0" collapsed="false">
      <c r="A77" s="50" t="str">
        <f aca="false">IF($I77="","",CHOOSE(INT($I77/1000)+1,"Monday","Tuesday","Wednesday","Thursday","Friday","Saturday","Sunday"))</f>
        <v/>
      </c>
      <c r="B77" s="51" t="str">
        <f aca="false">IF($I77="","",WeekMon+INT($I77/1000))</f>
        <v/>
      </c>
      <c r="C77" s="52" t="str">
        <f aca="false">IF($I77="","",INDEX(Customers!$A$12:$A$311,MOD($I77,1000))&amp;"")</f>
        <v/>
      </c>
      <c r="D77" s="53" t="str">
        <f aca="false">IF($I77="","",INDEX(Customers!$N$12:$N$311,MOD($I77,1000))/100)</f>
        <v/>
      </c>
      <c r="E77" s="54" t="str">
        <f aca="false">IF($I77="","",INDEX(Customers!$C$12:$C$311,MOD($I77,1000))&amp;"")</f>
        <v/>
      </c>
      <c r="F77" s="54"/>
      <c r="I77" s="55" t="str">
        <f aca="false">IF(58&gt;COUNT(Customers!$P$12:$P$311),"",SMALL(Customers!$P$12:$P$311,58))</f>
        <v/>
      </c>
    </row>
    <row r="78" customFormat="false" ht="15" hidden="false" customHeight="false" outlineLevel="0" collapsed="false">
      <c r="A78" s="50" t="str">
        <f aca="false">IF($I78="","",CHOOSE(INT($I78/1000)+1,"Monday","Tuesday","Wednesday","Thursday","Friday","Saturday","Sunday"))</f>
        <v/>
      </c>
      <c r="B78" s="51" t="str">
        <f aca="false">IF($I78="","",WeekMon+INT($I78/1000))</f>
        <v/>
      </c>
      <c r="C78" s="52" t="str">
        <f aca="false">IF($I78="","",INDEX(Customers!$A$12:$A$311,MOD($I78,1000))&amp;"")</f>
        <v/>
      </c>
      <c r="D78" s="53" t="str">
        <f aca="false">IF($I78="","",INDEX(Customers!$N$12:$N$311,MOD($I78,1000))/100)</f>
        <v/>
      </c>
      <c r="E78" s="54" t="str">
        <f aca="false">IF($I78="","",INDEX(Customers!$C$12:$C$311,MOD($I78,1000))&amp;"")</f>
        <v/>
      </c>
      <c r="F78" s="54"/>
      <c r="I78" s="55" t="str">
        <f aca="false">IF(59&gt;COUNT(Customers!$P$12:$P$311),"",SMALL(Customers!$P$12:$P$311,59))</f>
        <v/>
      </c>
    </row>
    <row r="79" customFormat="false" ht="15" hidden="false" customHeight="false" outlineLevel="0" collapsed="false">
      <c r="A79" s="50" t="str">
        <f aca="false">IF($I79="","",CHOOSE(INT($I79/1000)+1,"Monday","Tuesday","Wednesday","Thursday","Friday","Saturday","Sunday"))</f>
        <v/>
      </c>
      <c r="B79" s="51" t="str">
        <f aca="false">IF($I79="","",WeekMon+INT($I79/1000))</f>
        <v/>
      </c>
      <c r="C79" s="52" t="str">
        <f aca="false">IF($I79="","",INDEX(Customers!$A$12:$A$311,MOD($I79,1000))&amp;"")</f>
        <v/>
      </c>
      <c r="D79" s="53" t="str">
        <f aca="false">IF($I79="","",INDEX(Customers!$N$12:$N$311,MOD($I79,1000))/100)</f>
        <v/>
      </c>
      <c r="E79" s="54" t="str">
        <f aca="false">IF($I79="","",INDEX(Customers!$C$12:$C$311,MOD($I79,1000))&amp;"")</f>
        <v/>
      </c>
      <c r="F79" s="54"/>
      <c r="I79" s="55" t="str">
        <f aca="false">IF(60&gt;COUNT(Customers!$P$12:$P$311),"",SMALL(Customers!$P$12:$P$311,60))</f>
        <v/>
      </c>
    </row>
    <row r="80" customFormat="false" ht="15" hidden="false" customHeight="false" outlineLevel="0" collapsed="false">
      <c r="A80" s="50" t="str">
        <f aca="false">IF($I80="","",CHOOSE(INT($I80/1000)+1,"Monday","Tuesday","Wednesday","Thursday","Friday","Saturday","Sunday"))</f>
        <v/>
      </c>
      <c r="B80" s="51" t="str">
        <f aca="false">IF($I80="","",WeekMon+INT($I80/1000))</f>
        <v/>
      </c>
      <c r="C80" s="52" t="str">
        <f aca="false">IF($I80="","",INDEX(Customers!$A$12:$A$311,MOD($I80,1000))&amp;"")</f>
        <v/>
      </c>
      <c r="D80" s="53" t="str">
        <f aca="false">IF($I80="","",INDEX(Customers!$N$12:$N$311,MOD($I80,1000))/100)</f>
        <v/>
      </c>
      <c r="E80" s="54" t="str">
        <f aca="false">IF($I80="","",INDEX(Customers!$C$12:$C$311,MOD($I80,1000))&amp;"")</f>
        <v/>
      </c>
      <c r="F80" s="54"/>
      <c r="I80" s="55" t="str">
        <f aca="false">IF(61&gt;COUNT(Customers!$P$12:$P$311),"",SMALL(Customers!$P$12:$P$311,61))</f>
        <v/>
      </c>
    </row>
    <row r="81" customFormat="false" ht="15" hidden="false" customHeight="false" outlineLevel="0" collapsed="false">
      <c r="A81" s="50" t="str">
        <f aca="false">IF($I81="","",CHOOSE(INT($I81/1000)+1,"Monday","Tuesday","Wednesday","Thursday","Friday","Saturday","Sunday"))</f>
        <v/>
      </c>
      <c r="B81" s="51" t="str">
        <f aca="false">IF($I81="","",WeekMon+INT($I81/1000))</f>
        <v/>
      </c>
      <c r="C81" s="52" t="str">
        <f aca="false">IF($I81="","",INDEX(Customers!$A$12:$A$311,MOD($I81,1000))&amp;"")</f>
        <v/>
      </c>
      <c r="D81" s="53" t="str">
        <f aca="false">IF($I81="","",INDEX(Customers!$N$12:$N$311,MOD($I81,1000))/100)</f>
        <v/>
      </c>
      <c r="E81" s="54" t="str">
        <f aca="false">IF($I81="","",INDEX(Customers!$C$12:$C$311,MOD($I81,1000))&amp;"")</f>
        <v/>
      </c>
      <c r="F81" s="54"/>
      <c r="I81" s="55" t="str">
        <f aca="false">IF(62&gt;COUNT(Customers!$P$12:$P$311),"",SMALL(Customers!$P$12:$P$311,62))</f>
        <v/>
      </c>
    </row>
    <row r="82" customFormat="false" ht="15" hidden="false" customHeight="false" outlineLevel="0" collapsed="false">
      <c r="A82" s="50" t="str">
        <f aca="false">IF($I82="","",CHOOSE(INT($I82/1000)+1,"Monday","Tuesday","Wednesday","Thursday","Friday","Saturday","Sunday"))</f>
        <v/>
      </c>
      <c r="B82" s="51" t="str">
        <f aca="false">IF($I82="","",WeekMon+INT($I82/1000))</f>
        <v/>
      </c>
      <c r="C82" s="52" t="str">
        <f aca="false">IF($I82="","",INDEX(Customers!$A$12:$A$311,MOD($I82,1000))&amp;"")</f>
        <v/>
      </c>
      <c r="D82" s="53" t="str">
        <f aca="false">IF($I82="","",INDEX(Customers!$N$12:$N$311,MOD($I82,1000))/100)</f>
        <v/>
      </c>
      <c r="E82" s="54" t="str">
        <f aca="false">IF($I82="","",INDEX(Customers!$C$12:$C$311,MOD($I82,1000))&amp;"")</f>
        <v/>
      </c>
      <c r="F82" s="54"/>
      <c r="I82" s="55" t="str">
        <f aca="false">IF(63&gt;COUNT(Customers!$P$12:$P$311),"",SMALL(Customers!$P$12:$P$311,63))</f>
        <v/>
      </c>
    </row>
    <row r="83" customFormat="false" ht="15" hidden="false" customHeight="false" outlineLevel="0" collapsed="false">
      <c r="A83" s="50" t="str">
        <f aca="false">IF($I83="","",CHOOSE(INT($I83/1000)+1,"Monday","Tuesday","Wednesday","Thursday","Friday","Saturday","Sunday"))</f>
        <v/>
      </c>
      <c r="B83" s="51" t="str">
        <f aca="false">IF($I83="","",WeekMon+INT($I83/1000))</f>
        <v/>
      </c>
      <c r="C83" s="52" t="str">
        <f aca="false">IF($I83="","",INDEX(Customers!$A$12:$A$311,MOD($I83,1000))&amp;"")</f>
        <v/>
      </c>
      <c r="D83" s="53" t="str">
        <f aca="false">IF($I83="","",INDEX(Customers!$N$12:$N$311,MOD($I83,1000))/100)</f>
        <v/>
      </c>
      <c r="E83" s="54" t="str">
        <f aca="false">IF($I83="","",INDEX(Customers!$C$12:$C$311,MOD($I83,1000))&amp;"")</f>
        <v/>
      </c>
      <c r="F83" s="54"/>
      <c r="I83" s="55" t="str">
        <f aca="false">IF(64&gt;COUNT(Customers!$P$12:$P$311),"",SMALL(Customers!$P$12:$P$311,64))</f>
        <v/>
      </c>
    </row>
    <row r="84" customFormat="false" ht="15" hidden="false" customHeight="false" outlineLevel="0" collapsed="false">
      <c r="A84" s="50" t="str">
        <f aca="false">IF($I84="","",CHOOSE(INT($I84/1000)+1,"Monday","Tuesday","Wednesday","Thursday","Friday","Saturday","Sunday"))</f>
        <v/>
      </c>
      <c r="B84" s="51" t="str">
        <f aca="false">IF($I84="","",WeekMon+INT($I84/1000))</f>
        <v/>
      </c>
      <c r="C84" s="52" t="str">
        <f aca="false">IF($I84="","",INDEX(Customers!$A$12:$A$311,MOD($I84,1000))&amp;"")</f>
        <v/>
      </c>
      <c r="D84" s="53" t="str">
        <f aca="false">IF($I84="","",INDEX(Customers!$N$12:$N$311,MOD($I84,1000))/100)</f>
        <v/>
      </c>
      <c r="E84" s="54" t="str">
        <f aca="false">IF($I84="","",INDEX(Customers!$C$12:$C$311,MOD($I84,1000))&amp;"")</f>
        <v/>
      </c>
      <c r="F84" s="54"/>
      <c r="I84" s="55" t="str">
        <f aca="false">IF(65&gt;COUNT(Customers!$P$12:$P$311),"",SMALL(Customers!$P$12:$P$311,65))</f>
        <v/>
      </c>
    </row>
    <row r="85" customFormat="false" ht="15" hidden="false" customHeight="false" outlineLevel="0" collapsed="false">
      <c r="A85" s="50" t="str">
        <f aca="false">IF($I85="","",CHOOSE(INT($I85/1000)+1,"Monday","Tuesday","Wednesday","Thursday","Friday","Saturday","Sunday"))</f>
        <v/>
      </c>
      <c r="B85" s="51" t="str">
        <f aca="false">IF($I85="","",WeekMon+INT($I85/1000))</f>
        <v/>
      </c>
      <c r="C85" s="52" t="str">
        <f aca="false">IF($I85="","",INDEX(Customers!$A$12:$A$311,MOD($I85,1000))&amp;"")</f>
        <v/>
      </c>
      <c r="D85" s="53" t="str">
        <f aca="false">IF($I85="","",INDEX(Customers!$N$12:$N$311,MOD($I85,1000))/100)</f>
        <v/>
      </c>
      <c r="E85" s="54" t="str">
        <f aca="false">IF($I85="","",INDEX(Customers!$C$12:$C$311,MOD($I85,1000))&amp;"")</f>
        <v/>
      </c>
      <c r="F85" s="54"/>
      <c r="I85" s="55" t="str">
        <f aca="false">IF(66&gt;COUNT(Customers!$P$12:$P$311),"",SMALL(Customers!$P$12:$P$311,66))</f>
        <v/>
      </c>
    </row>
    <row r="86" customFormat="false" ht="15" hidden="false" customHeight="false" outlineLevel="0" collapsed="false">
      <c r="A86" s="50" t="str">
        <f aca="false">IF($I86="","",CHOOSE(INT($I86/1000)+1,"Monday","Tuesday","Wednesday","Thursday","Friday","Saturday","Sunday"))</f>
        <v/>
      </c>
      <c r="B86" s="51" t="str">
        <f aca="false">IF($I86="","",WeekMon+INT($I86/1000))</f>
        <v/>
      </c>
      <c r="C86" s="52" t="str">
        <f aca="false">IF($I86="","",INDEX(Customers!$A$12:$A$311,MOD($I86,1000))&amp;"")</f>
        <v/>
      </c>
      <c r="D86" s="53" t="str">
        <f aca="false">IF($I86="","",INDEX(Customers!$N$12:$N$311,MOD($I86,1000))/100)</f>
        <v/>
      </c>
      <c r="E86" s="54" t="str">
        <f aca="false">IF($I86="","",INDEX(Customers!$C$12:$C$311,MOD($I86,1000))&amp;"")</f>
        <v/>
      </c>
      <c r="F86" s="54"/>
      <c r="I86" s="55" t="str">
        <f aca="false">IF(67&gt;COUNT(Customers!$P$12:$P$311),"",SMALL(Customers!$P$12:$P$311,67))</f>
        <v/>
      </c>
    </row>
    <row r="87" customFormat="false" ht="15" hidden="false" customHeight="false" outlineLevel="0" collapsed="false">
      <c r="A87" s="50" t="str">
        <f aca="false">IF($I87="","",CHOOSE(INT($I87/1000)+1,"Monday","Tuesday","Wednesday","Thursday","Friday","Saturday","Sunday"))</f>
        <v/>
      </c>
      <c r="B87" s="51" t="str">
        <f aca="false">IF($I87="","",WeekMon+INT($I87/1000))</f>
        <v/>
      </c>
      <c r="C87" s="52" t="str">
        <f aca="false">IF($I87="","",INDEX(Customers!$A$12:$A$311,MOD($I87,1000))&amp;"")</f>
        <v/>
      </c>
      <c r="D87" s="53" t="str">
        <f aca="false">IF($I87="","",INDEX(Customers!$N$12:$N$311,MOD($I87,1000))/100)</f>
        <v/>
      </c>
      <c r="E87" s="54" t="str">
        <f aca="false">IF($I87="","",INDEX(Customers!$C$12:$C$311,MOD($I87,1000))&amp;"")</f>
        <v/>
      </c>
      <c r="F87" s="54"/>
      <c r="I87" s="55" t="str">
        <f aca="false">IF(68&gt;COUNT(Customers!$P$12:$P$311),"",SMALL(Customers!$P$12:$P$311,68))</f>
        <v/>
      </c>
    </row>
    <row r="88" customFormat="false" ht="15" hidden="false" customHeight="false" outlineLevel="0" collapsed="false">
      <c r="A88" s="50" t="str">
        <f aca="false">IF($I88="","",CHOOSE(INT($I88/1000)+1,"Monday","Tuesday","Wednesday","Thursday","Friday","Saturday","Sunday"))</f>
        <v/>
      </c>
      <c r="B88" s="51" t="str">
        <f aca="false">IF($I88="","",WeekMon+INT($I88/1000))</f>
        <v/>
      </c>
      <c r="C88" s="52" t="str">
        <f aca="false">IF($I88="","",INDEX(Customers!$A$12:$A$311,MOD($I88,1000))&amp;"")</f>
        <v/>
      </c>
      <c r="D88" s="53" t="str">
        <f aca="false">IF($I88="","",INDEX(Customers!$N$12:$N$311,MOD($I88,1000))/100)</f>
        <v/>
      </c>
      <c r="E88" s="54" t="str">
        <f aca="false">IF($I88="","",INDEX(Customers!$C$12:$C$311,MOD($I88,1000))&amp;"")</f>
        <v/>
      </c>
      <c r="F88" s="54"/>
      <c r="I88" s="55" t="str">
        <f aca="false">IF(69&gt;COUNT(Customers!$P$12:$P$311),"",SMALL(Customers!$P$12:$P$311,69))</f>
        <v/>
      </c>
    </row>
    <row r="89" customFormat="false" ht="15" hidden="false" customHeight="false" outlineLevel="0" collapsed="false">
      <c r="A89" s="50" t="str">
        <f aca="false">IF($I89="","",CHOOSE(INT($I89/1000)+1,"Monday","Tuesday","Wednesday","Thursday","Friday","Saturday","Sunday"))</f>
        <v/>
      </c>
      <c r="B89" s="51" t="str">
        <f aca="false">IF($I89="","",WeekMon+INT($I89/1000))</f>
        <v/>
      </c>
      <c r="C89" s="52" t="str">
        <f aca="false">IF($I89="","",INDEX(Customers!$A$12:$A$311,MOD($I89,1000))&amp;"")</f>
        <v/>
      </c>
      <c r="D89" s="53" t="str">
        <f aca="false">IF($I89="","",INDEX(Customers!$N$12:$N$311,MOD($I89,1000))/100)</f>
        <v/>
      </c>
      <c r="E89" s="54" t="str">
        <f aca="false">IF($I89="","",INDEX(Customers!$C$12:$C$311,MOD($I89,1000))&amp;"")</f>
        <v/>
      </c>
      <c r="F89" s="54"/>
      <c r="I89" s="55" t="str">
        <f aca="false">IF(70&gt;COUNT(Customers!$P$12:$P$311),"",SMALL(Customers!$P$12:$P$311,70))</f>
        <v/>
      </c>
    </row>
    <row r="90" customFormat="false" ht="15" hidden="false" customHeight="false" outlineLevel="0" collapsed="false">
      <c r="A90" s="50" t="str">
        <f aca="false">IF($I90="","",CHOOSE(INT($I90/1000)+1,"Monday","Tuesday","Wednesday","Thursday","Friday","Saturday","Sunday"))</f>
        <v/>
      </c>
      <c r="B90" s="51" t="str">
        <f aca="false">IF($I90="","",WeekMon+INT($I90/1000))</f>
        <v/>
      </c>
      <c r="C90" s="52" t="str">
        <f aca="false">IF($I90="","",INDEX(Customers!$A$12:$A$311,MOD($I90,1000))&amp;"")</f>
        <v/>
      </c>
      <c r="D90" s="53" t="str">
        <f aca="false">IF($I90="","",INDEX(Customers!$N$12:$N$311,MOD($I90,1000))/100)</f>
        <v/>
      </c>
      <c r="E90" s="54" t="str">
        <f aca="false">IF($I90="","",INDEX(Customers!$C$12:$C$311,MOD($I90,1000))&amp;"")</f>
        <v/>
      </c>
      <c r="F90" s="54"/>
      <c r="I90" s="55" t="str">
        <f aca="false">IF(71&gt;COUNT(Customers!$P$12:$P$311),"",SMALL(Customers!$P$12:$P$311,71))</f>
        <v/>
      </c>
    </row>
    <row r="91" customFormat="false" ht="15" hidden="false" customHeight="false" outlineLevel="0" collapsed="false">
      <c r="A91" s="50" t="str">
        <f aca="false">IF($I91="","",CHOOSE(INT($I91/1000)+1,"Monday","Tuesday","Wednesday","Thursday","Friday","Saturday","Sunday"))</f>
        <v/>
      </c>
      <c r="B91" s="51" t="str">
        <f aca="false">IF($I91="","",WeekMon+INT($I91/1000))</f>
        <v/>
      </c>
      <c r="C91" s="52" t="str">
        <f aca="false">IF($I91="","",INDEX(Customers!$A$12:$A$311,MOD($I91,1000))&amp;"")</f>
        <v/>
      </c>
      <c r="D91" s="53" t="str">
        <f aca="false">IF($I91="","",INDEX(Customers!$N$12:$N$311,MOD($I91,1000))/100)</f>
        <v/>
      </c>
      <c r="E91" s="54" t="str">
        <f aca="false">IF($I91="","",INDEX(Customers!$C$12:$C$311,MOD($I91,1000))&amp;"")</f>
        <v/>
      </c>
      <c r="F91" s="54"/>
      <c r="I91" s="55" t="str">
        <f aca="false">IF(72&gt;COUNT(Customers!$P$12:$P$311),"",SMALL(Customers!$P$12:$P$311,72))</f>
        <v/>
      </c>
    </row>
    <row r="92" customFormat="false" ht="15" hidden="false" customHeight="false" outlineLevel="0" collapsed="false">
      <c r="A92" s="50" t="str">
        <f aca="false">IF($I92="","",CHOOSE(INT($I92/1000)+1,"Monday","Tuesday","Wednesday","Thursday","Friday","Saturday","Sunday"))</f>
        <v/>
      </c>
      <c r="B92" s="51" t="str">
        <f aca="false">IF($I92="","",WeekMon+INT($I92/1000))</f>
        <v/>
      </c>
      <c r="C92" s="52" t="str">
        <f aca="false">IF($I92="","",INDEX(Customers!$A$12:$A$311,MOD($I92,1000))&amp;"")</f>
        <v/>
      </c>
      <c r="D92" s="53" t="str">
        <f aca="false">IF($I92="","",INDEX(Customers!$N$12:$N$311,MOD($I92,1000))/100)</f>
        <v/>
      </c>
      <c r="E92" s="54" t="str">
        <f aca="false">IF($I92="","",INDEX(Customers!$C$12:$C$311,MOD($I92,1000))&amp;"")</f>
        <v/>
      </c>
      <c r="F92" s="54"/>
      <c r="I92" s="55" t="str">
        <f aca="false">IF(73&gt;COUNT(Customers!$P$12:$P$311),"",SMALL(Customers!$P$12:$P$311,73))</f>
        <v/>
      </c>
    </row>
    <row r="93" customFormat="false" ht="15" hidden="false" customHeight="false" outlineLevel="0" collapsed="false">
      <c r="A93" s="50" t="str">
        <f aca="false">IF($I93="","",CHOOSE(INT($I93/1000)+1,"Monday","Tuesday","Wednesday","Thursday","Friday","Saturday","Sunday"))</f>
        <v/>
      </c>
      <c r="B93" s="51" t="str">
        <f aca="false">IF($I93="","",WeekMon+INT($I93/1000))</f>
        <v/>
      </c>
      <c r="C93" s="52" t="str">
        <f aca="false">IF($I93="","",INDEX(Customers!$A$12:$A$311,MOD($I93,1000))&amp;"")</f>
        <v/>
      </c>
      <c r="D93" s="53" t="str">
        <f aca="false">IF($I93="","",INDEX(Customers!$N$12:$N$311,MOD($I93,1000))/100)</f>
        <v/>
      </c>
      <c r="E93" s="54" t="str">
        <f aca="false">IF($I93="","",INDEX(Customers!$C$12:$C$311,MOD($I93,1000))&amp;"")</f>
        <v/>
      </c>
      <c r="F93" s="54"/>
      <c r="I93" s="55" t="str">
        <f aca="false">IF(74&gt;COUNT(Customers!$P$12:$P$311),"",SMALL(Customers!$P$12:$P$311,74))</f>
        <v/>
      </c>
    </row>
    <row r="94" customFormat="false" ht="15" hidden="false" customHeight="false" outlineLevel="0" collapsed="false">
      <c r="A94" s="50" t="str">
        <f aca="false">IF($I94="","",CHOOSE(INT($I94/1000)+1,"Monday","Tuesday","Wednesday","Thursday","Friday","Saturday","Sunday"))</f>
        <v/>
      </c>
      <c r="B94" s="51" t="str">
        <f aca="false">IF($I94="","",WeekMon+INT($I94/1000))</f>
        <v/>
      </c>
      <c r="C94" s="52" t="str">
        <f aca="false">IF($I94="","",INDEX(Customers!$A$12:$A$311,MOD($I94,1000))&amp;"")</f>
        <v/>
      </c>
      <c r="D94" s="53" t="str">
        <f aca="false">IF($I94="","",INDEX(Customers!$N$12:$N$311,MOD($I94,1000))/100)</f>
        <v/>
      </c>
      <c r="E94" s="54" t="str">
        <f aca="false">IF($I94="","",INDEX(Customers!$C$12:$C$311,MOD($I94,1000))&amp;"")</f>
        <v/>
      </c>
      <c r="F94" s="54"/>
      <c r="I94" s="55" t="str">
        <f aca="false">IF(75&gt;COUNT(Customers!$P$12:$P$311),"",SMALL(Customers!$P$12:$P$311,75))</f>
        <v/>
      </c>
    </row>
    <row r="95" customFormat="false" ht="15" hidden="false" customHeight="false" outlineLevel="0" collapsed="false">
      <c r="A95" s="50" t="str">
        <f aca="false">IF($I95="","",CHOOSE(INT($I95/1000)+1,"Monday","Tuesday","Wednesday","Thursday","Friday","Saturday","Sunday"))</f>
        <v/>
      </c>
      <c r="B95" s="51" t="str">
        <f aca="false">IF($I95="","",WeekMon+INT($I95/1000))</f>
        <v/>
      </c>
      <c r="C95" s="52" t="str">
        <f aca="false">IF($I95="","",INDEX(Customers!$A$12:$A$311,MOD($I95,1000))&amp;"")</f>
        <v/>
      </c>
      <c r="D95" s="53" t="str">
        <f aca="false">IF($I95="","",INDEX(Customers!$N$12:$N$311,MOD($I95,1000))/100)</f>
        <v/>
      </c>
      <c r="E95" s="54" t="str">
        <f aca="false">IF($I95="","",INDEX(Customers!$C$12:$C$311,MOD($I95,1000))&amp;"")</f>
        <v/>
      </c>
      <c r="F95" s="54"/>
      <c r="I95" s="55" t="str">
        <f aca="false">IF(76&gt;COUNT(Customers!$P$12:$P$311),"",SMALL(Customers!$P$12:$P$311,76))</f>
        <v/>
      </c>
    </row>
    <row r="96" customFormat="false" ht="15" hidden="false" customHeight="false" outlineLevel="0" collapsed="false">
      <c r="A96" s="50" t="str">
        <f aca="false">IF($I96="","",CHOOSE(INT($I96/1000)+1,"Monday","Tuesday","Wednesday","Thursday","Friday","Saturday","Sunday"))</f>
        <v/>
      </c>
      <c r="B96" s="51" t="str">
        <f aca="false">IF($I96="","",WeekMon+INT($I96/1000))</f>
        <v/>
      </c>
      <c r="C96" s="52" t="str">
        <f aca="false">IF($I96="","",INDEX(Customers!$A$12:$A$311,MOD($I96,1000))&amp;"")</f>
        <v/>
      </c>
      <c r="D96" s="53" t="str">
        <f aca="false">IF($I96="","",INDEX(Customers!$N$12:$N$311,MOD($I96,1000))/100)</f>
        <v/>
      </c>
      <c r="E96" s="54" t="str">
        <f aca="false">IF($I96="","",INDEX(Customers!$C$12:$C$311,MOD($I96,1000))&amp;"")</f>
        <v/>
      </c>
      <c r="F96" s="54"/>
      <c r="I96" s="55" t="str">
        <f aca="false">IF(77&gt;COUNT(Customers!$P$12:$P$311),"",SMALL(Customers!$P$12:$P$311,77))</f>
        <v/>
      </c>
    </row>
    <row r="97" customFormat="false" ht="15" hidden="false" customHeight="false" outlineLevel="0" collapsed="false">
      <c r="A97" s="50" t="str">
        <f aca="false">IF($I97="","",CHOOSE(INT($I97/1000)+1,"Monday","Tuesday","Wednesday","Thursday","Friday","Saturday","Sunday"))</f>
        <v/>
      </c>
      <c r="B97" s="51" t="str">
        <f aca="false">IF($I97="","",WeekMon+INT($I97/1000))</f>
        <v/>
      </c>
      <c r="C97" s="52" t="str">
        <f aca="false">IF($I97="","",INDEX(Customers!$A$12:$A$311,MOD($I97,1000))&amp;"")</f>
        <v/>
      </c>
      <c r="D97" s="53" t="str">
        <f aca="false">IF($I97="","",INDEX(Customers!$N$12:$N$311,MOD($I97,1000))/100)</f>
        <v/>
      </c>
      <c r="E97" s="54" t="str">
        <f aca="false">IF($I97="","",INDEX(Customers!$C$12:$C$311,MOD($I97,1000))&amp;"")</f>
        <v/>
      </c>
      <c r="F97" s="54"/>
      <c r="I97" s="55" t="str">
        <f aca="false">IF(78&gt;COUNT(Customers!$P$12:$P$311),"",SMALL(Customers!$P$12:$P$311,78))</f>
        <v/>
      </c>
    </row>
    <row r="98" customFormat="false" ht="15" hidden="false" customHeight="false" outlineLevel="0" collapsed="false">
      <c r="A98" s="50" t="str">
        <f aca="false">IF($I98="","",CHOOSE(INT($I98/1000)+1,"Monday","Tuesday","Wednesday","Thursday","Friday","Saturday","Sunday"))</f>
        <v/>
      </c>
      <c r="B98" s="51" t="str">
        <f aca="false">IF($I98="","",WeekMon+INT($I98/1000))</f>
        <v/>
      </c>
      <c r="C98" s="52" t="str">
        <f aca="false">IF($I98="","",INDEX(Customers!$A$12:$A$311,MOD($I98,1000))&amp;"")</f>
        <v/>
      </c>
      <c r="D98" s="53" t="str">
        <f aca="false">IF($I98="","",INDEX(Customers!$N$12:$N$311,MOD($I98,1000))/100)</f>
        <v/>
      </c>
      <c r="E98" s="54" t="str">
        <f aca="false">IF($I98="","",INDEX(Customers!$C$12:$C$311,MOD($I98,1000))&amp;"")</f>
        <v/>
      </c>
      <c r="F98" s="54"/>
      <c r="I98" s="55" t="str">
        <f aca="false">IF(79&gt;COUNT(Customers!$P$12:$P$311),"",SMALL(Customers!$P$12:$P$311,79))</f>
        <v/>
      </c>
    </row>
    <row r="99" customFormat="false" ht="15" hidden="false" customHeight="false" outlineLevel="0" collapsed="false">
      <c r="A99" s="50" t="str">
        <f aca="false">IF($I99="","",CHOOSE(INT($I99/1000)+1,"Monday","Tuesday","Wednesday","Thursday","Friday","Saturday","Sunday"))</f>
        <v/>
      </c>
      <c r="B99" s="51" t="str">
        <f aca="false">IF($I99="","",WeekMon+INT($I99/1000))</f>
        <v/>
      </c>
      <c r="C99" s="52" t="str">
        <f aca="false">IF($I99="","",INDEX(Customers!$A$12:$A$311,MOD($I99,1000))&amp;"")</f>
        <v/>
      </c>
      <c r="D99" s="53" t="str">
        <f aca="false">IF($I99="","",INDEX(Customers!$N$12:$N$311,MOD($I99,1000))/100)</f>
        <v/>
      </c>
      <c r="E99" s="54" t="str">
        <f aca="false">IF($I99="","",INDEX(Customers!$C$12:$C$311,MOD($I99,1000))&amp;"")</f>
        <v/>
      </c>
      <c r="F99" s="54"/>
      <c r="I99" s="55" t="str">
        <f aca="false">IF(80&gt;COUNT(Customers!$P$12:$P$311),"",SMALL(Customers!$P$12:$P$311,80))</f>
        <v/>
      </c>
    </row>
    <row r="100" customFormat="false" ht="15" hidden="false" customHeight="false" outlineLevel="0" collapsed="false">
      <c r="A100" s="50" t="str">
        <f aca="false">IF($I100="","",CHOOSE(INT($I100/1000)+1,"Monday","Tuesday","Wednesday","Thursday","Friday","Saturday","Sunday"))</f>
        <v/>
      </c>
      <c r="B100" s="51" t="str">
        <f aca="false">IF($I100="","",WeekMon+INT($I100/1000))</f>
        <v/>
      </c>
      <c r="C100" s="52" t="str">
        <f aca="false">IF($I100="","",INDEX(Customers!$A$12:$A$311,MOD($I100,1000))&amp;"")</f>
        <v/>
      </c>
      <c r="D100" s="53" t="str">
        <f aca="false">IF($I100="","",INDEX(Customers!$N$12:$N$311,MOD($I100,1000))/100)</f>
        <v/>
      </c>
      <c r="E100" s="54" t="str">
        <f aca="false">IF($I100="","",INDEX(Customers!$C$12:$C$311,MOD($I100,1000))&amp;"")</f>
        <v/>
      </c>
      <c r="F100" s="54"/>
      <c r="I100" s="55" t="str">
        <f aca="false">IF(81&gt;COUNT(Customers!$P$12:$P$311),"",SMALL(Customers!$P$12:$P$311,81))</f>
        <v/>
      </c>
    </row>
    <row r="101" customFormat="false" ht="15" hidden="false" customHeight="false" outlineLevel="0" collapsed="false">
      <c r="A101" s="50" t="str">
        <f aca="false">IF($I101="","",CHOOSE(INT($I101/1000)+1,"Monday","Tuesday","Wednesday","Thursday","Friday","Saturday","Sunday"))</f>
        <v/>
      </c>
      <c r="B101" s="51" t="str">
        <f aca="false">IF($I101="","",WeekMon+INT($I101/1000))</f>
        <v/>
      </c>
      <c r="C101" s="52" t="str">
        <f aca="false">IF($I101="","",INDEX(Customers!$A$12:$A$311,MOD($I101,1000))&amp;"")</f>
        <v/>
      </c>
      <c r="D101" s="53" t="str">
        <f aca="false">IF($I101="","",INDEX(Customers!$N$12:$N$311,MOD($I101,1000))/100)</f>
        <v/>
      </c>
      <c r="E101" s="54" t="str">
        <f aca="false">IF($I101="","",INDEX(Customers!$C$12:$C$311,MOD($I101,1000))&amp;"")</f>
        <v/>
      </c>
      <c r="F101" s="54"/>
      <c r="I101" s="55" t="str">
        <f aca="false">IF(82&gt;COUNT(Customers!$P$12:$P$311),"",SMALL(Customers!$P$12:$P$311,82))</f>
        <v/>
      </c>
    </row>
    <row r="102" customFormat="false" ht="15" hidden="false" customHeight="false" outlineLevel="0" collapsed="false">
      <c r="A102" s="50" t="str">
        <f aca="false">IF($I102="","",CHOOSE(INT($I102/1000)+1,"Monday","Tuesday","Wednesday","Thursday","Friday","Saturday","Sunday"))</f>
        <v/>
      </c>
      <c r="B102" s="51" t="str">
        <f aca="false">IF($I102="","",WeekMon+INT($I102/1000))</f>
        <v/>
      </c>
      <c r="C102" s="52" t="str">
        <f aca="false">IF($I102="","",INDEX(Customers!$A$12:$A$311,MOD($I102,1000))&amp;"")</f>
        <v/>
      </c>
      <c r="D102" s="53" t="str">
        <f aca="false">IF($I102="","",INDEX(Customers!$N$12:$N$311,MOD($I102,1000))/100)</f>
        <v/>
      </c>
      <c r="E102" s="54" t="str">
        <f aca="false">IF($I102="","",INDEX(Customers!$C$12:$C$311,MOD($I102,1000))&amp;"")</f>
        <v/>
      </c>
      <c r="F102" s="54"/>
      <c r="I102" s="55" t="str">
        <f aca="false">IF(83&gt;COUNT(Customers!$P$12:$P$311),"",SMALL(Customers!$P$12:$P$311,83))</f>
        <v/>
      </c>
    </row>
    <row r="103" customFormat="false" ht="15" hidden="false" customHeight="false" outlineLevel="0" collapsed="false">
      <c r="A103" s="50" t="str">
        <f aca="false">IF($I103="","",CHOOSE(INT($I103/1000)+1,"Monday","Tuesday","Wednesday","Thursday","Friday","Saturday","Sunday"))</f>
        <v/>
      </c>
      <c r="B103" s="51" t="str">
        <f aca="false">IF($I103="","",WeekMon+INT($I103/1000))</f>
        <v/>
      </c>
      <c r="C103" s="52" t="str">
        <f aca="false">IF($I103="","",INDEX(Customers!$A$12:$A$311,MOD($I103,1000))&amp;"")</f>
        <v/>
      </c>
      <c r="D103" s="53" t="str">
        <f aca="false">IF($I103="","",INDEX(Customers!$N$12:$N$311,MOD($I103,1000))/100)</f>
        <v/>
      </c>
      <c r="E103" s="54" t="str">
        <f aca="false">IF($I103="","",INDEX(Customers!$C$12:$C$311,MOD($I103,1000))&amp;"")</f>
        <v/>
      </c>
      <c r="F103" s="54"/>
      <c r="I103" s="55" t="str">
        <f aca="false">IF(84&gt;COUNT(Customers!$P$12:$P$311),"",SMALL(Customers!$P$12:$P$311,84))</f>
        <v/>
      </c>
    </row>
    <row r="104" customFormat="false" ht="15" hidden="false" customHeight="false" outlineLevel="0" collapsed="false">
      <c r="A104" s="50" t="str">
        <f aca="false">IF($I104="","",CHOOSE(INT($I104/1000)+1,"Monday","Tuesday","Wednesday","Thursday","Friday","Saturday","Sunday"))</f>
        <v/>
      </c>
      <c r="B104" s="51" t="str">
        <f aca="false">IF($I104="","",WeekMon+INT($I104/1000))</f>
        <v/>
      </c>
      <c r="C104" s="52" t="str">
        <f aca="false">IF($I104="","",INDEX(Customers!$A$12:$A$311,MOD($I104,1000))&amp;"")</f>
        <v/>
      </c>
      <c r="D104" s="53" t="str">
        <f aca="false">IF($I104="","",INDEX(Customers!$N$12:$N$311,MOD($I104,1000))/100)</f>
        <v/>
      </c>
      <c r="E104" s="54" t="str">
        <f aca="false">IF($I104="","",INDEX(Customers!$C$12:$C$311,MOD($I104,1000))&amp;"")</f>
        <v/>
      </c>
      <c r="F104" s="54"/>
      <c r="I104" s="55" t="str">
        <f aca="false">IF(85&gt;COUNT(Customers!$P$12:$P$311),"",SMALL(Customers!$P$12:$P$311,85))</f>
        <v/>
      </c>
    </row>
    <row r="105" customFormat="false" ht="15" hidden="false" customHeight="false" outlineLevel="0" collapsed="false">
      <c r="A105" s="50" t="str">
        <f aca="false">IF($I105="","",CHOOSE(INT($I105/1000)+1,"Monday","Tuesday","Wednesday","Thursday","Friday","Saturday","Sunday"))</f>
        <v/>
      </c>
      <c r="B105" s="51" t="str">
        <f aca="false">IF($I105="","",WeekMon+INT($I105/1000))</f>
        <v/>
      </c>
      <c r="C105" s="52" t="str">
        <f aca="false">IF($I105="","",INDEX(Customers!$A$12:$A$311,MOD($I105,1000))&amp;"")</f>
        <v/>
      </c>
      <c r="D105" s="53" t="str">
        <f aca="false">IF($I105="","",INDEX(Customers!$N$12:$N$311,MOD($I105,1000))/100)</f>
        <v/>
      </c>
      <c r="E105" s="54" t="str">
        <f aca="false">IF($I105="","",INDEX(Customers!$C$12:$C$311,MOD($I105,1000))&amp;"")</f>
        <v/>
      </c>
      <c r="F105" s="54"/>
      <c r="I105" s="55" t="str">
        <f aca="false">IF(86&gt;COUNT(Customers!$P$12:$P$311),"",SMALL(Customers!$P$12:$P$311,86))</f>
        <v/>
      </c>
    </row>
    <row r="106" customFormat="false" ht="15" hidden="false" customHeight="false" outlineLevel="0" collapsed="false">
      <c r="A106" s="50" t="str">
        <f aca="false">IF($I106="","",CHOOSE(INT($I106/1000)+1,"Monday","Tuesday","Wednesday","Thursday","Friday","Saturday","Sunday"))</f>
        <v/>
      </c>
      <c r="B106" s="51" t="str">
        <f aca="false">IF($I106="","",WeekMon+INT($I106/1000))</f>
        <v/>
      </c>
      <c r="C106" s="52" t="str">
        <f aca="false">IF($I106="","",INDEX(Customers!$A$12:$A$311,MOD($I106,1000))&amp;"")</f>
        <v/>
      </c>
      <c r="D106" s="53" t="str">
        <f aca="false">IF($I106="","",INDEX(Customers!$N$12:$N$311,MOD($I106,1000))/100)</f>
        <v/>
      </c>
      <c r="E106" s="54" t="str">
        <f aca="false">IF($I106="","",INDEX(Customers!$C$12:$C$311,MOD($I106,1000))&amp;"")</f>
        <v/>
      </c>
      <c r="F106" s="54"/>
      <c r="I106" s="55" t="str">
        <f aca="false">IF(87&gt;COUNT(Customers!$P$12:$P$311),"",SMALL(Customers!$P$12:$P$311,87))</f>
        <v/>
      </c>
    </row>
    <row r="107" customFormat="false" ht="15" hidden="false" customHeight="false" outlineLevel="0" collapsed="false">
      <c r="A107" s="50" t="str">
        <f aca="false">IF($I107="","",CHOOSE(INT($I107/1000)+1,"Monday","Tuesday","Wednesday","Thursday","Friday","Saturday","Sunday"))</f>
        <v/>
      </c>
      <c r="B107" s="51" t="str">
        <f aca="false">IF($I107="","",WeekMon+INT($I107/1000))</f>
        <v/>
      </c>
      <c r="C107" s="52" t="str">
        <f aca="false">IF($I107="","",INDEX(Customers!$A$12:$A$311,MOD($I107,1000))&amp;"")</f>
        <v/>
      </c>
      <c r="D107" s="53" t="str">
        <f aca="false">IF($I107="","",INDEX(Customers!$N$12:$N$311,MOD($I107,1000))/100)</f>
        <v/>
      </c>
      <c r="E107" s="54" t="str">
        <f aca="false">IF($I107="","",INDEX(Customers!$C$12:$C$311,MOD($I107,1000))&amp;"")</f>
        <v/>
      </c>
      <c r="F107" s="54"/>
      <c r="I107" s="55" t="str">
        <f aca="false">IF(88&gt;COUNT(Customers!$P$12:$P$311),"",SMALL(Customers!$P$12:$P$311,88))</f>
        <v/>
      </c>
    </row>
    <row r="108" customFormat="false" ht="15" hidden="false" customHeight="false" outlineLevel="0" collapsed="false">
      <c r="A108" s="50" t="str">
        <f aca="false">IF($I108="","",CHOOSE(INT($I108/1000)+1,"Monday","Tuesday","Wednesday","Thursday","Friday","Saturday","Sunday"))</f>
        <v/>
      </c>
      <c r="B108" s="51" t="str">
        <f aca="false">IF($I108="","",WeekMon+INT($I108/1000))</f>
        <v/>
      </c>
      <c r="C108" s="52" t="str">
        <f aca="false">IF($I108="","",INDEX(Customers!$A$12:$A$311,MOD($I108,1000))&amp;"")</f>
        <v/>
      </c>
      <c r="D108" s="53" t="str">
        <f aca="false">IF($I108="","",INDEX(Customers!$N$12:$N$311,MOD($I108,1000))/100)</f>
        <v/>
      </c>
      <c r="E108" s="54" t="str">
        <f aca="false">IF($I108="","",INDEX(Customers!$C$12:$C$311,MOD($I108,1000))&amp;"")</f>
        <v/>
      </c>
      <c r="F108" s="54"/>
      <c r="I108" s="55" t="str">
        <f aca="false">IF(89&gt;COUNT(Customers!$P$12:$P$311),"",SMALL(Customers!$P$12:$P$311,89))</f>
        <v/>
      </c>
    </row>
    <row r="109" customFormat="false" ht="15" hidden="false" customHeight="false" outlineLevel="0" collapsed="false">
      <c r="A109" s="50" t="str">
        <f aca="false">IF($I109="","",CHOOSE(INT($I109/1000)+1,"Monday","Tuesday","Wednesday","Thursday","Friday","Saturday","Sunday"))</f>
        <v/>
      </c>
      <c r="B109" s="51" t="str">
        <f aca="false">IF($I109="","",WeekMon+INT($I109/1000))</f>
        <v/>
      </c>
      <c r="C109" s="52" t="str">
        <f aca="false">IF($I109="","",INDEX(Customers!$A$12:$A$311,MOD($I109,1000))&amp;"")</f>
        <v/>
      </c>
      <c r="D109" s="53" t="str">
        <f aca="false">IF($I109="","",INDEX(Customers!$N$12:$N$311,MOD($I109,1000))/100)</f>
        <v/>
      </c>
      <c r="E109" s="54" t="str">
        <f aca="false">IF($I109="","",INDEX(Customers!$C$12:$C$311,MOD($I109,1000))&amp;"")</f>
        <v/>
      </c>
      <c r="F109" s="54"/>
      <c r="I109" s="55" t="str">
        <f aca="false">IF(90&gt;COUNT(Customers!$P$12:$P$311),"",SMALL(Customers!$P$12:$P$311,90))</f>
        <v/>
      </c>
    </row>
    <row r="110" customFormat="false" ht="15" hidden="false" customHeight="false" outlineLevel="0" collapsed="false">
      <c r="A110" s="50" t="str">
        <f aca="false">IF($I110="","",CHOOSE(INT($I110/1000)+1,"Monday","Tuesday","Wednesday","Thursday","Friday","Saturday","Sunday"))</f>
        <v/>
      </c>
      <c r="B110" s="51" t="str">
        <f aca="false">IF($I110="","",WeekMon+INT($I110/1000))</f>
        <v/>
      </c>
      <c r="C110" s="52" t="str">
        <f aca="false">IF($I110="","",INDEX(Customers!$A$12:$A$311,MOD($I110,1000))&amp;"")</f>
        <v/>
      </c>
      <c r="D110" s="53" t="str">
        <f aca="false">IF($I110="","",INDEX(Customers!$N$12:$N$311,MOD($I110,1000))/100)</f>
        <v/>
      </c>
      <c r="E110" s="54" t="str">
        <f aca="false">IF($I110="","",INDEX(Customers!$C$12:$C$311,MOD($I110,1000))&amp;"")</f>
        <v/>
      </c>
      <c r="F110" s="54"/>
      <c r="I110" s="55" t="str">
        <f aca="false">IF(91&gt;COUNT(Customers!$P$12:$P$311),"",SMALL(Customers!$P$12:$P$311,91))</f>
        <v/>
      </c>
    </row>
    <row r="111" customFormat="false" ht="15" hidden="false" customHeight="false" outlineLevel="0" collapsed="false">
      <c r="A111" s="50" t="str">
        <f aca="false">IF($I111="","",CHOOSE(INT($I111/1000)+1,"Monday","Tuesday","Wednesday","Thursday","Friday","Saturday","Sunday"))</f>
        <v/>
      </c>
      <c r="B111" s="51" t="str">
        <f aca="false">IF($I111="","",WeekMon+INT($I111/1000))</f>
        <v/>
      </c>
      <c r="C111" s="52" t="str">
        <f aca="false">IF($I111="","",INDEX(Customers!$A$12:$A$311,MOD($I111,1000))&amp;"")</f>
        <v/>
      </c>
      <c r="D111" s="53" t="str">
        <f aca="false">IF($I111="","",INDEX(Customers!$N$12:$N$311,MOD($I111,1000))/100)</f>
        <v/>
      </c>
      <c r="E111" s="54" t="str">
        <f aca="false">IF($I111="","",INDEX(Customers!$C$12:$C$311,MOD($I111,1000))&amp;"")</f>
        <v/>
      </c>
      <c r="F111" s="54"/>
      <c r="I111" s="55" t="str">
        <f aca="false">IF(92&gt;COUNT(Customers!$P$12:$P$311),"",SMALL(Customers!$P$12:$P$311,92))</f>
        <v/>
      </c>
    </row>
    <row r="112" customFormat="false" ht="15" hidden="false" customHeight="false" outlineLevel="0" collapsed="false">
      <c r="A112" s="50" t="str">
        <f aca="false">IF($I112="","",CHOOSE(INT($I112/1000)+1,"Monday","Tuesday","Wednesday","Thursday","Friday","Saturday","Sunday"))</f>
        <v/>
      </c>
      <c r="B112" s="51" t="str">
        <f aca="false">IF($I112="","",WeekMon+INT($I112/1000))</f>
        <v/>
      </c>
      <c r="C112" s="52" t="str">
        <f aca="false">IF($I112="","",INDEX(Customers!$A$12:$A$311,MOD($I112,1000))&amp;"")</f>
        <v/>
      </c>
      <c r="D112" s="53" t="str">
        <f aca="false">IF($I112="","",INDEX(Customers!$N$12:$N$311,MOD($I112,1000))/100)</f>
        <v/>
      </c>
      <c r="E112" s="54" t="str">
        <f aca="false">IF($I112="","",INDEX(Customers!$C$12:$C$311,MOD($I112,1000))&amp;"")</f>
        <v/>
      </c>
      <c r="F112" s="54"/>
      <c r="I112" s="55" t="str">
        <f aca="false">IF(93&gt;COUNT(Customers!$P$12:$P$311),"",SMALL(Customers!$P$12:$P$311,93))</f>
        <v/>
      </c>
    </row>
    <row r="113" customFormat="false" ht="15" hidden="false" customHeight="false" outlineLevel="0" collapsed="false">
      <c r="A113" s="50" t="str">
        <f aca="false">IF($I113="","",CHOOSE(INT($I113/1000)+1,"Monday","Tuesday","Wednesday","Thursday","Friday","Saturday","Sunday"))</f>
        <v/>
      </c>
      <c r="B113" s="51" t="str">
        <f aca="false">IF($I113="","",WeekMon+INT($I113/1000))</f>
        <v/>
      </c>
      <c r="C113" s="52" t="str">
        <f aca="false">IF($I113="","",INDEX(Customers!$A$12:$A$311,MOD($I113,1000))&amp;"")</f>
        <v/>
      </c>
      <c r="D113" s="53" t="str">
        <f aca="false">IF($I113="","",INDEX(Customers!$N$12:$N$311,MOD($I113,1000))/100)</f>
        <v/>
      </c>
      <c r="E113" s="54" t="str">
        <f aca="false">IF($I113="","",INDEX(Customers!$C$12:$C$311,MOD($I113,1000))&amp;"")</f>
        <v/>
      </c>
      <c r="F113" s="54"/>
      <c r="I113" s="55" t="str">
        <f aca="false">IF(94&gt;COUNT(Customers!$P$12:$P$311),"",SMALL(Customers!$P$12:$P$311,94))</f>
        <v/>
      </c>
    </row>
    <row r="114" customFormat="false" ht="15" hidden="false" customHeight="false" outlineLevel="0" collapsed="false">
      <c r="A114" s="50" t="str">
        <f aca="false">IF($I114="","",CHOOSE(INT($I114/1000)+1,"Monday","Tuesday","Wednesday","Thursday","Friday","Saturday","Sunday"))</f>
        <v/>
      </c>
      <c r="B114" s="51" t="str">
        <f aca="false">IF($I114="","",WeekMon+INT($I114/1000))</f>
        <v/>
      </c>
      <c r="C114" s="52" t="str">
        <f aca="false">IF($I114="","",INDEX(Customers!$A$12:$A$311,MOD($I114,1000))&amp;"")</f>
        <v/>
      </c>
      <c r="D114" s="53" t="str">
        <f aca="false">IF($I114="","",INDEX(Customers!$N$12:$N$311,MOD($I114,1000))/100)</f>
        <v/>
      </c>
      <c r="E114" s="54" t="str">
        <f aca="false">IF($I114="","",INDEX(Customers!$C$12:$C$311,MOD($I114,1000))&amp;"")</f>
        <v/>
      </c>
      <c r="F114" s="54"/>
      <c r="I114" s="55" t="str">
        <f aca="false">IF(95&gt;COUNT(Customers!$P$12:$P$311),"",SMALL(Customers!$P$12:$P$311,95))</f>
        <v/>
      </c>
    </row>
    <row r="115" customFormat="false" ht="15" hidden="false" customHeight="false" outlineLevel="0" collapsed="false">
      <c r="A115" s="50" t="str">
        <f aca="false">IF($I115="","",CHOOSE(INT($I115/1000)+1,"Monday","Tuesday","Wednesday","Thursday","Friday","Saturday","Sunday"))</f>
        <v/>
      </c>
      <c r="B115" s="51" t="str">
        <f aca="false">IF($I115="","",WeekMon+INT($I115/1000))</f>
        <v/>
      </c>
      <c r="C115" s="52" t="str">
        <f aca="false">IF($I115="","",INDEX(Customers!$A$12:$A$311,MOD($I115,1000))&amp;"")</f>
        <v/>
      </c>
      <c r="D115" s="53" t="str">
        <f aca="false">IF($I115="","",INDEX(Customers!$N$12:$N$311,MOD($I115,1000))/100)</f>
        <v/>
      </c>
      <c r="E115" s="54" t="str">
        <f aca="false">IF($I115="","",INDEX(Customers!$C$12:$C$311,MOD($I115,1000))&amp;"")</f>
        <v/>
      </c>
      <c r="F115" s="54"/>
      <c r="I115" s="55" t="str">
        <f aca="false">IF(96&gt;COUNT(Customers!$P$12:$P$311),"",SMALL(Customers!$P$12:$P$311,96))</f>
        <v/>
      </c>
    </row>
    <row r="116" customFormat="false" ht="15" hidden="false" customHeight="false" outlineLevel="0" collapsed="false">
      <c r="A116" s="50" t="str">
        <f aca="false">IF($I116="","",CHOOSE(INT($I116/1000)+1,"Monday","Tuesday","Wednesday","Thursday","Friday","Saturday","Sunday"))</f>
        <v/>
      </c>
      <c r="B116" s="51" t="str">
        <f aca="false">IF($I116="","",WeekMon+INT($I116/1000))</f>
        <v/>
      </c>
      <c r="C116" s="52" t="str">
        <f aca="false">IF($I116="","",INDEX(Customers!$A$12:$A$311,MOD($I116,1000))&amp;"")</f>
        <v/>
      </c>
      <c r="D116" s="53" t="str">
        <f aca="false">IF($I116="","",INDEX(Customers!$N$12:$N$311,MOD($I116,1000))/100)</f>
        <v/>
      </c>
      <c r="E116" s="54" t="str">
        <f aca="false">IF($I116="","",INDEX(Customers!$C$12:$C$311,MOD($I116,1000))&amp;"")</f>
        <v/>
      </c>
      <c r="F116" s="54"/>
      <c r="I116" s="55" t="str">
        <f aca="false">IF(97&gt;COUNT(Customers!$P$12:$P$311),"",SMALL(Customers!$P$12:$P$311,97))</f>
        <v/>
      </c>
    </row>
    <row r="117" customFormat="false" ht="15" hidden="false" customHeight="false" outlineLevel="0" collapsed="false">
      <c r="A117" s="50" t="str">
        <f aca="false">IF($I117="","",CHOOSE(INT($I117/1000)+1,"Monday","Tuesday","Wednesday","Thursday","Friday","Saturday","Sunday"))</f>
        <v/>
      </c>
      <c r="B117" s="51" t="str">
        <f aca="false">IF($I117="","",WeekMon+INT($I117/1000))</f>
        <v/>
      </c>
      <c r="C117" s="52" t="str">
        <f aca="false">IF($I117="","",INDEX(Customers!$A$12:$A$311,MOD($I117,1000))&amp;"")</f>
        <v/>
      </c>
      <c r="D117" s="53" t="str">
        <f aca="false">IF($I117="","",INDEX(Customers!$N$12:$N$311,MOD($I117,1000))/100)</f>
        <v/>
      </c>
      <c r="E117" s="54" t="str">
        <f aca="false">IF($I117="","",INDEX(Customers!$C$12:$C$311,MOD($I117,1000))&amp;"")</f>
        <v/>
      </c>
      <c r="F117" s="54"/>
      <c r="I117" s="55" t="str">
        <f aca="false">IF(98&gt;COUNT(Customers!$P$12:$P$311),"",SMALL(Customers!$P$12:$P$311,98))</f>
        <v/>
      </c>
    </row>
    <row r="118" customFormat="false" ht="15" hidden="false" customHeight="false" outlineLevel="0" collapsed="false">
      <c r="A118" s="50" t="str">
        <f aca="false">IF($I118="","",CHOOSE(INT($I118/1000)+1,"Monday","Tuesday","Wednesday","Thursday","Friday","Saturday","Sunday"))</f>
        <v/>
      </c>
      <c r="B118" s="51" t="str">
        <f aca="false">IF($I118="","",WeekMon+INT($I118/1000))</f>
        <v/>
      </c>
      <c r="C118" s="52" t="str">
        <f aca="false">IF($I118="","",INDEX(Customers!$A$12:$A$311,MOD($I118,1000))&amp;"")</f>
        <v/>
      </c>
      <c r="D118" s="53" t="str">
        <f aca="false">IF($I118="","",INDEX(Customers!$N$12:$N$311,MOD($I118,1000))/100)</f>
        <v/>
      </c>
      <c r="E118" s="54" t="str">
        <f aca="false">IF($I118="","",INDEX(Customers!$C$12:$C$311,MOD($I118,1000))&amp;"")</f>
        <v/>
      </c>
      <c r="F118" s="54"/>
      <c r="I118" s="55" t="str">
        <f aca="false">IF(99&gt;COUNT(Customers!$P$12:$P$311),"",SMALL(Customers!$P$12:$P$311,99))</f>
        <v/>
      </c>
    </row>
    <row r="119" customFormat="false" ht="15" hidden="false" customHeight="false" outlineLevel="0" collapsed="false">
      <c r="A119" s="50" t="str">
        <f aca="false">IF($I119="","",CHOOSE(INT($I119/1000)+1,"Monday","Tuesday","Wednesday","Thursday","Friday","Saturday","Sunday"))</f>
        <v/>
      </c>
      <c r="B119" s="51" t="str">
        <f aca="false">IF($I119="","",WeekMon+INT($I119/1000))</f>
        <v/>
      </c>
      <c r="C119" s="52" t="str">
        <f aca="false">IF($I119="","",INDEX(Customers!$A$12:$A$311,MOD($I119,1000))&amp;"")</f>
        <v/>
      </c>
      <c r="D119" s="53" t="str">
        <f aca="false">IF($I119="","",INDEX(Customers!$N$12:$N$311,MOD($I119,1000))/100)</f>
        <v/>
      </c>
      <c r="E119" s="54" t="str">
        <f aca="false">IF($I119="","",INDEX(Customers!$C$12:$C$311,MOD($I119,1000))&amp;"")</f>
        <v/>
      </c>
      <c r="F119" s="54"/>
      <c r="I119" s="55" t="str">
        <f aca="false">IF(100&gt;COUNT(Customers!$P$12:$P$311),"",SMALL(Customers!$P$12:$P$311,100))</f>
        <v/>
      </c>
    </row>
    <row r="120" customFormat="false" ht="15" hidden="false" customHeight="false" outlineLevel="0" collapsed="false">
      <c r="A120" s="50" t="str">
        <f aca="false">IF($I120="","",CHOOSE(INT($I120/1000)+1,"Monday","Tuesday","Wednesday","Thursday","Friday","Saturday","Sunday"))</f>
        <v/>
      </c>
      <c r="B120" s="51" t="str">
        <f aca="false">IF($I120="","",WeekMon+INT($I120/1000))</f>
        <v/>
      </c>
      <c r="C120" s="52" t="str">
        <f aca="false">IF($I120="","",INDEX(Customers!$A$12:$A$311,MOD($I120,1000))&amp;"")</f>
        <v/>
      </c>
      <c r="D120" s="53" t="str">
        <f aca="false">IF($I120="","",INDEX(Customers!$N$12:$N$311,MOD($I120,1000))/100)</f>
        <v/>
      </c>
      <c r="E120" s="54" t="str">
        <f aca="false">IF($I120="","",INDEX(Customers!$C$12:$C$311,MOD($I120,1000))&amp;"")</f>
        <v/>
      </c>
      <c r="F120" s="54"/>
      <c r="I120" s="55" t="str">
        <f aca="false">IF(101&gt;COUNT(Customers!$P$12:$P$311),"",SMALL(Customers!$P$12:$P$311,101))</f>
        <v/>
      </c>
    </row>
    <row r="121" customFormat="false" ht="15" hidden="false" customHeight="false" outlineLevel="0" collapsed="false">
      <c r="A121" s="50" t="str">
        <f aca="false">IF($I121="","",CHOOSE(INT($I121/1000)+1,"Monday","Tuesday","Wednesday","Thursday","Friday","Saturday","Sunday"))</f>
        <v/>
      </c>
      <c r="B121" s="51" t="str">
        <f aca="false">IF($I121="","",WeekMon+INT($I121/1000))</f>
        <v/>
      </c>
      <c r="C121" s="52" t="str">
        <f aca="false">IF($I121="","",INDEX(Customers!$A$12:$A$311,MOD($I121,1000))&amp;"")</f>
        <v/>
      </c>
      <c r="D121" s="53" t="str">
        <f aca="false">IF($I121="","",INDEX(Customers!$N$12:$N$311,MOD($I121,1000))/100)</f>
        <v/>
      </c>
      <c r="E121" s="54" t="str">
        <f aca="false">IF($I121="","",INDEX(Customers!$C$12:$C$311,MOD($I121,1000))&amp;"")</f>
        <v/>
      </c>
      <c r="F121" s="54"/>
      <c r="I121" s="55" t="str">
        <f aca="false">IF(102&gt;COUNT(Customers!$P$12:$P$311),"",SMALL(Customers!$P$12:$P$311,102))</f>
        <v/>
      </c>
    </row>
    <row r="122" customFormat="false" ht="15" hidden="false" customHeight="false" outlineLevel="0" collapsed="false">
      <c r="A122" s="50" t="str">
        <f aca="false">IF($I122="","",CHOOSE(INT($I122/1000)+1,"Monday","Tuesday","Wednesday","Thursday","Friday","Saturday","Sunday"))</f>
        <v/>
      </c>
      <c r="B122" s="51" t="str">
        <f aca="false">IF($I122="","",WeekMon+INT($I122/1000))</f>
        <v/>
      </c>
      <c r="C122" s="52" t="str">
        <f aca="false">IF($I122="","",INDEX(Customers!$A$12:$A$311,MOD($I122,1000))&amp;"")</f>
        <v/>
      </c>
      <c r="D122" s="53" t="str">
        <f aca="false">IF($I122="","",INDEX(Customers!$N$12:$N$311,MOD($I122,1000))/100)</f>
        <v/>
      </c>
      <c r="E122" s="54" t="str">
        <f aca="false">IF($I122="","",INDEX(Customers!$C$12:$C$311,MOD($I122,1000))&amp;"")</f>
        <v/>
      </c>
      <c r="F122" s="54"/>
      <c r="I122" s="55" t="str">
        <f aca="false">IF(103&gt;COUNT(Customers!$P$12:$P$311),"",SMALL(Customers!$P$12:$P$311,103))</f>
        <v/>
      </c>
    </row>
    <row r="123" customFormat="false" ht="15" hidden="false" customHeight="false" outlineLevel="0" collapsed="false">
      <c r="A123" s="50" t="str">
        <f aca="false">IF($I123="","",CHOOSE(INT($I123/1000)+1,"Monday","Tuesday","Wednesday","Thursday","Friday","Saturday","Sunday"))</f>
        <v/>
      </c>
      <c r="B123" s="51" t="str">
        <f aca="false">IF($I123="","",WeekMon+INT($I123/1000))</f>
        <v/>
      </c>
      <c r="C123" s="52" t="str">
        <f aca="false">IF($I123="","",INDEX(Customers!$A$12:$A$311,MOD($I123,1000))&amp;"")</f>
        <v/>
      </c>
      <c r="D123" s="53" t="str">
        <f aca="false">IF($I123="","",INDEX(Customers!$N$12:$N$311,MOD($I123,1000))/100)</f>
        <v/>
      </c>
      <c r="E123" s="54" t="str">
        <f aca="false">IF($I123="","",INDEX(Customers!$C$12:$C$311,MOD($I123,1000))&amp;"")</f>
        <v/>
      </c>
      <c r="F123" s="54"/>
      <c r="I123" s="55" t="str">
        <f aca="false">IF(104&gt;COUNT(Customers!$P$12:$P$311),"",SMALL(Customers!$P$12:$P$311,104))</f>
        <v/>
      </c>
    </row>
    <row r="124" customFormat="false" ht="15" hidden="false" customHeight="false" outlineLevel="0" collapsed="false">
      <c r="A124" s="50" t="str">
        <f aca="false">IF($I124="","",CHOOSE(INT($I124/1000)+1,"Monday","Tuesday","Wednesday","Thursday","Friday","Saturday","Sunday"))</f>
        <v/>
      </c>
      <c r="B124" s="51" t="str">
        <f aca="false">IF($I124="","",WeekMon+INT($I124/1000))</f>
        <v/>
      </c>
      <c r="C124" s="52" t="str">
        <f aca="false">IF($I124="","",INDEX(Customers!$A$12:$A$311,MOD($I124,1000))&amp;"")</f>
        <v/>
      </c>
      <c r="D124" s="53" t="str">
        <f aca="false">IF($I124="","",INDEX(Customers!$N$12:$N$311,MOD($I124,1000))/100)</f>
        <v/>
      </c>
      <c r="E124" s="54" t="str">
        <f aca="false">IF($I124="","",INDEX(Customers!$C$12:$C$311,MOD($I124,1000))&amp;"")</f>
        <v/>
      </c>
      <c r="F124" s="54"/>
      <c r="I124" s="55" t="str">
        <f aca="false">IF(105&gt;COUNT(Customers!$P$12:$P$311),"",SMALL(Customers!$P$12:$P$311,105))</f>
        <v/>
      </c>
    </row>
    <row r="125" customFormat="false" ht="15" hidden="false" customHeight="false" outlineLevel="0" collapsed="false">
      <c r="A125" s="50" t="str">
        <f aca="false">IF($I125="","",CHOOSE(INT($I125/1000)+1,"Monday","Tuesday","Wednesday","Thursday","Friday","Saturday","Sunday"))</f>
        <v/>
      </c>
      <c r="B125" s="51" t="str">
        <f aca="false">IF($I125="","",WeekMon+INT($I125/1000))</f>
        <v/>
      </c>
      <c r="C125" s="52" t="str">
        <f aca="false">IF($I125="","",INDEX(Customers!$A$12:$A$311,MOD($I125,1000))&amp;"")</f>
        <v/>
      </c>
      <c r="D125" s="53" t="str">
        <f aca="false">IF($I125="","",INDEX(Customers!$N$12:$N$311,MOD($I125,1000))/100)</f>
        <v/>
      </c>
      <c r="E125" s="54" t="str">
        <f aca="false">IF($I125="","",INDEX(Customers!$C$12:$C$311,MOD($I125,1000))&amp;"")</f>
        <v/>
      </c>
      <c r="F125" s="54"/>
      <c r="I125" s="55" t="str">
        <f aca="false">IF(106&gt;COUNT(Customers!$P$12:$P$311),"",SMALL(Customers!$P$12:$P$311,106))</f>
        <v/>
      </c>
    </row>
    <row r="126" customFormat="false" ht="15" hidden="false" customHeight="false" outlineLevel="0" collapsed="false">
      <c r="A126" s="50" t="str">
        <f aca="false">IF($I126="","",CHOOSE(INT($I126/1000)+1,"Monday","Tuesday","Wednesday","Thursday","Friday","Saturday","Sunday"))</f>
        <v/>
      </c>
      <c r="B126" s="51" t="str">
        <f aca="false">IF($I126="","",WeekMon+INT($I126/1000))</f>
        <v/>
      </c>
      <c r="C126" s="52" t="str">
        <f aca="false">IF($I126="","",INDEX(Customers!$A$12:$A$311,MOD($I126,1000))&amp;"")</f>
        <v/>
      </c>
      <c r="D126" s="53" t="str">
        <f aca="false">IF($I126="","",INDEX(Customers!$N$12:$N$311,MOD($I126,1000))/100)</f>
        <v/>
      </c>
      <c r="E126" s="54" t="str">
        <f aca="false">IF($I126="","",INDEX(Customers!$C$12:$C$311,MOD($I126,1000))&amp;"")</f>
        <v/>
      </c>
      <c r="F126" s="54"/>
      <c r="I126" s="55" t="str">
        <f aca="false">IF(107&gt;COUNT(Customers!$P$12:$P$311),"",SMALL(Customers!$P$12:$P$311,107))</f>
        <v/>
      </c>
    </row>
    <row r="127" customFormat="false" ht="15" hidden="false" customHeight="false" outlineLevel="0" collapsed="false">
      <c r="A127" s="50" t="str">
        <f aca="false">IF($I127="","",CHOOSE(INT($I127/1000)+1,"Monday","Tuesday","Wednesday","Thursday","Friday","Saturday","Sunday"))</f>
        <v/>
      </c>
      <c r="B127" s="51" t="str">
        <f aca="false">IF($I127="","",WeekMon+INT($I127/1000))</f>
        <v/>
      </c>
      <c r="C127" s="52" t="str">
        <f aca="false">IF($I127="","",INDEX(Customers!$A$12:$A$311,MOD($I127,1000))&amp;"")</f>
        <v/>
      </c>
      <c r="D127" s="53" t="str">
        <f aca="false">IF($I127="","",INDEX(Customers!$N$12:$N$311,MOD($I127,1000))/100)</f>
        <v/>
      </c>
      <c r="E127" s="54" t="str">
        <f aca="false">IF($I127="","",INDEX(Customers!$C$12:$C$311,MOD($I127,1000))&amp;"")</f>
        <v/>
      </c>
      <c r="F127" s="54"/>
      <c r="I127" s="55" t="str">
        <f aca="false">IF(108&gt;COUNT(Customers!$P$12:$P$311),"",SMALL(Customers!$P$12:$P$311,108))</f>
        <v/>
      </c>
    </row>
    <row r="128" customFormat="false" ht="15" hidden="false" customHeight="false" outlineLevel="0" collapsed="false">
      <c r="A128" s="50" t="str">
        <f aca="false">IF($I128="","",CHOOSE(INT($I128/1000)+1,"Monday","Tuesday","Wednesday","Thursday","Friday","Saturday","Sunday"))</f>
        <v/>
      </c>
      <c r="B128" s="51" t="str">
        <f aca="false">IF($I128="","",WeekMon+INT($I128/1000))</f>
        <v/>
      </c>
      <c r="C128" s="52" t="str">
        <f aca="false">IF($I128="","",INDEX(Customers!$A$12:$A$311,MOD($I128,1000))&amp;"")</f>
        <v/>
      </c>
      <c r="D128" s="53" t="str">
        <f aca="false">IF($I128="","",INDEX(Customers!$N$12:$N$311,MOD($I128,1000))/100)</f>
        <v/>
      </c>
      <c r="E128" s="54" t="str">
        <f aca="false">IF($I128="","",INDEX(Customers!$C$12:$C$311,MOD($I128,1000))&amp;"")</f>
        <v/>
      </c>
      <c r="F128" s="54"/>
      <c r="I128" s="55" t="str">
        <f aca="false">IF(109&gt;COUNT(Customers!$P$12:$P$311),"",SMALL(Customers!$P$12:$P$311,109))</f>
        <v/>
      </c>
    </row>
    <row r="129" customFormat="false" ht="15" hidden="false" customHeight="false" outlineLevel="0" collapsed="false">
      <c r="A129" s="50" t="str">
        <f aca="false">IF($I129="","",CHOOSE(INT($I129/1000)+1,"Monday","Tuesday","Wednesday","Thursday","Friday","Saturday","Sunday"))</f>
        <v/>
      </c>
      <c r="B129" s="51" t="str">
        <f aca="false">IF($I129="","",WeekMon+INT($I129/1000))</f>
        <v/>
      </c>
      <c r="C129" s="52" t="str">
        <f aca="false">IF($I129="","",INDEX(Customers!$A$12:$A$311,MOD($I129,1000))&amp;"")</f>
        <v/>
      </c>
      <c r="D129" s="53" t="str">
        <f aca="false">IF($I129="","",INDEX(Customers!$N$12:$N$311,MOD($I129,1000))/100)</f>
        <v/>
      </c>
      <c r="E129" s="54" t="str">
        <f aca="false">IF($I129="","",INDEX(Customers!$C$12:$C$311,MOD($I129,1000))&amp;"")</f>
        <v/>
      </c>
      <c r="F129" s="54"/>
      <c r="I129" s="55" t="str">
        <f aca="false">IF(110&gt;COUNT(Customers!$P$12:$P$311),"",SMALL(Customers!$P$12:$P$311,110))</f>
        <v/>
      </c>
    </row>
    <row r="130" customFormat="false" ht="15" hidden="false" customHeight="false" outlineLevel="0" collapsed="false">
      <c r="A130" s="50" t="str">
        <f aca="false">IF($I130="","",CHOOSE(INT($I130/1000)+1,"Monday","Tuesday","Wednesday","Thursday","Friday","Saturday","Sunday"))</f>
        <v/>
      </c>
      <c r="B130" s="51" t="str">
        <f aca="false">IF($I130="","",WeekMon+INT($I130/1000))</f>
        <v/>
      </c>
      <c r="C130" s="52" t="str">
        <f aca="false">IF($I130="","",INDEX(Customers!$A$12:$A$311,MOD($I130,1000))&amp;"")</f>
        <v/>
      </c>
      <c r="D130" s="53" t="str">
        <f aca="false">IF($I130="","",INDEX(Customers!$N$12:$N$311,MOD($I130,1000))/100)</f>
        <v/>
      </c>
      <c r="E130" s="54" t="str">
        <f aca="false">IF($I130="","",INDEX(Customers!$C$12:$C$311,MOD($I130,1000))&amp;"")</f>
        <v/>
      </c>
      <c r="F130" s="54"/>
      <c r="I130" s="55" t="str">
        <f aca="false">IF(111&gt;COUNT(Customers!$P$12:$P$311),"",SMALL(Customers!$P$12:$P$311,111))</f>
        <v/>
      </c>
    </row>
    <row r="131" customFormat="false" ht="15" hidden="false" customHeight="false" outlineLevel="0" collapsed="false">
      <c r="A131" s="50" t="str">
        <f aca="false">IF($I131="","",CHOOSE(INT($I131/1000)+1,"Monday","Tuesday","Wednesday","Thursday","Friday","Saturday","Sunday"))</f>
        <v/>
      </c>
      <c r="B131" s="51" t="str">
        <f aca="false">IF($I131="","",WeekMon+INT($I131/1000))</f>
        <v/>
      </c>
      <c r="C131" s="52" t="str">
        <f aca="false">IF($I131="","",INDEX(Customers!$A$12:$A$311,MOD($I131,1000))&amp;"")</f>
        <v/>
      </c>
      <c r="D131" s="53" t="str">
        <f aca="false">IF($I131="","",INDEX(Customers!$N$12:$N$311,MOD($I131,1000))/100)</f>
        <v/>
      </c>
      <c r="E131" s="54" t="str">
        <f aca="false">IF($I131="","",INDEX(Customers!$C$12:$C$311,MOD($I131,1000))&amp;"")</f>
        <v/>
      </c>
      <c r="F131" s="54"/>
      <c r="I131" s="55" t="str">
        <f aca="false">IF(112&gt;COUNT(Customers!$P$12:$P$311),"",SMALL(Customers!$P$12:$P$311,112))</f>
        <v/>
      </c>
    </row>
    <row r="132" customFormat="false" ht="15" hidden="false" customHeight="false" outlineLevel="0" collapsed="false">
      <c r="A132" s="50" t="str">
        <f aca="false">IF($I132="","",CHOOSE(INT($I132/1000)+1,"Monday","Tuesday","Wednesday","Thursday","Friday","Saturday","Sunday"))</f>
        <v/>
      </c>
      <c r="B132" s="51" t="str">
        <f aca="false">IF($I132="","",WeekMon+INT($I132/1000))</f>
        <v/>
      </c>
      <c r="C132" s="52" t="str">
        <f aca="false">IF($I132="","",INDEX(Customers!$A$12:$A$311,MOD($I132,1000))&amp;"")</f>
        <v/>
      </c>
      <c r="D132" s="53" t="str">
        <f aca="false">IF($I132="","",INDEX(Customers!$N$12:$N$311,MOD($I132,1000))/100)</f>
        <v/>
      </c>
      <c r="E132" s="54" t="str">
        <f aca="false">IF($I132="","",INDEX(Customers!$C$12:$C$311,MOD($I132,1000))&amp;"")</f>
        <v/>
      </c>
      <c r="F132" s="54"/>
      <c r="I132" s="55" t="str">
        <f aca="false">IF(113&gt;COUNT(Customers!$P$12:$P$311),"",SMALL(Customers!$P$12:$P$311,113))</f>
        <v/>
      </c>
    </row>
    <row r="133" customFormat="false" ht="15" hidden="false" customHeight="false" outlineLevel="0" collapsed="false">
      <c r="A133" s="50" t="str">
        <f aca="false">IF($I133="","",CHOOSE(INT($I133/1000)+1,"Monday","Tuesday","Wednesday","Thursday","Friday","Saturday","Sunday"))</f>
        <v/>
      </c>
      <c r="B133" s="51" t="str">
        <f aca="false">IF($I133="","",WeekMon+INT($I133/1000))</f>
        <v/>
      </c>
      <c r="C133" s="52" t="str">
        <f aca="false">IF($I133="","",INDEX(Customers!$A$12:$A$311,MOD($I133,1000))&amp;"")</f>
        <v/>
      </c>
      <c r="D133" s="53" t="str">
        <f aca="false">IF($I133="","",INDEX(Customers!$N$12:$N$311,MOD($I133,1000))/100)</f>
        <v/>
      </c>
      <c r="E133" s="54" t="str">
        <f aca="false">IF($I133="","",INDEX(Customers!$C$12:$C$311,MOD($I133,1000))&amp;"")</f>
        <v/>
      </c>
      <c r="F133" s="54"/>
      <c r="I133" s="55" t="str">
        <f aca="false">IF(114&gt;COUNT(Customers!$P$12:$P$311),"",SMALL(Customers!$P$12:$P$311,114))</f>
        <v/>
      </c>
    </row>
    <row r="134" customFormat="false" ht="15" hidden="false" customHeight="false" outlineLevel="0" collapsed="false">
      <c r="A134" s="50" t="str">
        <f aca="false">IF($I134="","",CHOOSE(INT($I134/1000)+1,"Monday","Tuesday","Wednesday","Thursday","Friday","Saturday","Sunday"))</f>
        <v/>
      </c>
      <c r="B134" s="51" t="str">
        <f aca="false">IF($I134="","",WeekMon+INT($I134/1000))</f>
        <v/>
      </c>
      <c r="C134" s="52" t="str">
        <f aca="false">IF($I134="","",INDEX(Customers!$A$12:$A$311,MOD($I134,1000))&amp;"")</f>
        <v/>
      </c>
      <c r="D134" s="53" t="str">
        <f aca="false">IF($I134="","",INDEX(Customers!$N$12:$N$311,MOD($I134,1000))/100)</f>
        <v/>
      </c>
      <c r="E134" s="54" t="str">
        <f aca="false">IF($I134="","",INDEX(Customers!$C$12:$C$311,MOD($I134,1000))&amp;"")</f>
        <v/>
      </c>
      <c r="F134" s="54"/>
      <c r="I134" s="55" t="str">
        <f aca="false">IF(115&gt;COUNT(Customers!$P$12:$P$311),"",SMALL(Customers!$P$12:$P$311,115))</f>
        <v/>
      </c>
    </row>
    <row r="135" customFormat="false" ht="15" hidden="false" customHeight="false" outlineLevel="0" collapsed="false">
      <c r="A135" s="50" t="str">
        <f aca="false">IF($I135="","",CHOOSE(INT($I135/1000)+1,"Monday","Tuesday","Wednesday","Thursday","Friday","Saturday","Sunday"))</f>
        <v/>
      </c>
      <c r="B135" s="51" t="str">
        <f aca="false">IF($I135="","",WeekMon+INT($I135/1000))</f>
        <v/>
      </c>
      <c r="C135" s="52" t="str">
        <f aca="false">IF($I135="","",INDEX(Customers!$A$12:$A$311,MOD($I135,1000))&amp;"")</f>
        <v/>
      </c>
      <c r="D135" s="53" t="str">
        <f aca="false">IF($I135="","",INDEX(Customers!$N$12:$N$311,MOD($I135,1000))/100)</f>
        <v/>
      </c>
      <c r="E135" s="54" t="str">
        <f aca="false">IF($I135="","",INDEX(Customers!$C$12:$C$311,MOD($I135,1000))&amp;"")</f>
        <v/>
      </c>
      <c r="F135" s="54"/>
      <c r="I135" s="55" t="str">
        <f aca="false">IF(116&gt;COUNT(Customers!$P$12:$P$311),"",SMALL(Customers!$P$12:$P$311,116))</f>
        <v/>
      </c>
    </row>
    <row r="136" customFormat="false" ht="15" hidden="false" customHeight="false" outlineLevel="0" collapsed="false">
      <c r="A136" s="50" t="str">
        <f aca="false">IF($I136="","",CHOOSE(INT($I136/1000)+1,"Monday","Tuesday","Wednesday","Thursday","Friday","Saturday","Sunday"))</f>
        <v/>
      </c>
      <c r="B136" s="51" t="str">
        <f aca="false">IF($I136="","",WeekMon+INT($I136/1000))</f>
        <v/>
      </c>
      <c r="C136" s="52" t="str">
        <f aca="false">IF($I136="","",INDEX(Customers!$A$12:$A$311,MOD($I136,1000))&amp;"")</f>
        <v/>
      </c>
      <c r="D136" s="53" t="str">
        <f aca="false">IF($I136="","",INDEX(Customers!$N$12:$N$311,MOD($I136,1000))/100)</f>
        <v/>
      </c>
      <c r="E136" s="54" t="str">
        <f aca="false">IF($I136="","",INDEX(Customers!$C$12:$C$311,MOD($I136,1000))&amp;"")</f>
        <v/>
      </c>
      <c r="F136" s="54"/>
      <c r="I136" s="55" t="str">
        <f aca="false">IF(117&gt;COUNT(Customers!$P$12:$P$311),"",SMALL(Customers!$P$12:$P$311,117))</f>
        <v/>
      </c>
    </row>
    <row r="137" customFormat="false" ht="15" hidden="false" customHeight="false" outlineLevel="0" collapsed="false">
      <c r="A137" s="50" t="str">
        <f aca="false">IF($I137="","",CHOOSE(INT($I137/1000)+1,"Monday","Tuesday","Wednesday","Thursday","Friday","Saturday","Sunday"))</f>
        <v/>
      </c>
      <c r="B137" s="51" t="str">
        <f aca="false">IF($I137="","",WeekMon+INT($I137/1000))</f>
        <v/>
      </c>
      <c r="C137" s="52" t="str">
        <f aca="false">IF($I137="","",INDEX(Customers!$A$12:$A$311,MOD($I137,1000))&amp;"")</f>
        <v/>
      </c>
      <c r="D137" s="53" t="str">
        <f aca="false">IF($I137="","",INDEX(Customers!$N$12:$N$311,MOD($I137,1000))/100)</f>
        <v/>
      </c>
      <c r="E137" s="54" t="str">
        <f aca="false">IF($I137="","",INDEX(Customers!$C$12:$C$311,MOD($I137,1000))&amp;"")</f>
        <v/>
      </c>
      <c r="F137" s="54"/>
      <c r="I137" s="55" t="str">
        <f aca="false">IF(118&gt;COUNT(Customers!$P$12:$P$311),"",SMALL(Customers!$P$12:$P$311,118))</f>
        <v/>
      </c>
    </row>
    <row r="138" customFormat="false" ht="15" hidden="false" customHeight="false" outlineLevel="0" collapsed="false">
      <c r="A138" s="50" t="str">
        <f aca="false">IF($I138="","",CHOOSE(INT($I138/1000)+1,"Monday","Tuesday","Wednesday","Thursday","Friday","Saturday","Sunday"))</f>
        <v/>
      </c>
      <c r="B138" s="51" t="str">
        <f aca="false">IF($I138="","",WeekMon+INT($I138/1000))</f>
        <v/>
      </c>
      <c r="C138" s="52" t="str">
        <f aca="false">IF($I138="","",INDEX(Customers!$A$12:$A$311,MOD($I138,1000))&amp;"")</f>
        <v/>
      </c>
      <c r="D138" s="53" t="str">
        <f aca="false">IF($I138="","",INDEX(Customers!$N$12:$N$311,MOD($I138,1000))/100)</f>
        <v/>
      </c>
      <c r="E138" s="54" t="str">
        <f aca="false">IF($I138="","",INDEX(Customers!$C$12:$C$311,MOD($I138,1000))&amp;"")</f>
        <v/>
      </c>
      <c r="F138" s="54"/>
      <c r="I138" s="55" t="str">
        <f aca="false">IF(119&gt;COUNT(Customers!$P$12:$P$311),"",SMALL(Customers!$P$12:$P$311,119))</f>
        <v/>
      </c>
    </row>
    <row r="139" customFormat="false" ht="15" hidden="false" customHeight="false" outlineLevel="0" collapsed="false">
      <c r="A139" s="50" t="str">
        <f aca="false">IF($I139="","",CHOOSE(INT($I139/1000)+1,"Monday","Tuesday","Wednesday","Thursday","Friday","Saturday","Sunday"))</f>
        <v/>
      </c>
      <c r="B139" s="51" t="str">
        <f aca="false">IF($I139="","",WeekMon+INT($I139/1000))</f>
        <v/>
      </c>
      <c r="C139" s="52" t="str">
        <f aca="false">IF($I139="","",INDEX(Customers!$A$12:$A$311,MOD($I139,1000))&amp;"")</f>
        <v/>
      </c>
      <c r="D139" s="53" t="str">
        <f aca="false">IF($I139="","",INDEX(Customers!$N$12:$N$311,MOD($I139,1000))/100)</f>
        <v/>
      </c>
      <c r="E139" s="54" t="str">
        <f aca="false">IF($I139="","",INDEX(Customers!$C$12:$C$311,MOD($I139,1000))&amp;"")</f>
        <v/>
      </c>
      <c r="F139" s="54"/>
      <c r="I139" s="55" t="str">
        <f aca="false">IF(120&gt;COUNT(Customers!$P$12:$P$311),"",SMALL(Customers!$P$12:$P$311,120))</f>
        <v/>
      </c>
    </row>
    <row r="140" customFormat="false" ht="15" hidden="false" customHeight="false" outlineLevel="0" collapsed="false">
      <c r="A140" s="50" t="str">
        <f aca="false">IF($I140="","",CHOOSE(INT($I140/1000)+1,"Monday","Tuesday","Wednesday","Thursday","Friday","Saturday","Sunday"))</f>
        <v/>
      </c>
      <c r="B140" s="51" t="str">
        <f aca="false">IF($I140="","",WeekMon+INT($I140/1000))</f>
        <v/>
      </c>
      <c r="C140" s="52" t="str">
        <f aca="false">IF($I140="","",INDEX(Customers!$A$12:$A$311,MOD($I140,1000))&amp;"")</f>
        <v/>
      </c>
      <c r="D140" s="53" t="str">
        <f aca="false">IF($I140="","",INDEX(Customers!$N$12:$N$311,MOD($I140,1000))/100)</f>
        <v/>
      </c>
      <c r="E140" s="54" t="str">
        <f aca="false">IF($I140="","",INDEX(Customers!$C$12:$C$311,MOD($I140,1000))&amp;"")</f>
        <v/>
      </c>
      <c r="F140" s="54"/>
      <c r="I140" s="55" t="str">
        <f aca="false">IF(121&gt;COUNT(Customers!$P$12:$P$311),"",SMALL(Customers!$P$12:$P$311,121))</f>
        <v/>
      </c>
    </row>
    <row r="141" customFormat="false" ht="15" hidden="false" customHeight="false" outlineLevel="0" collapsed="false">
      <c r="A141" s="50" t="str">
        <f aca="false">IF($I141="","",CHOOSE(INT($I141/1000)+1,"Monday","Tuesday","Wednesday","Thursday","Friday","Saturday","Sunday"))</f>
        <v/>
      </c>
      <c r="B141" s="51" t="str">
        <f aca="false">IF($I141="","",WeekMon+INT($I141/1000))</f>
        <v/>
      </c>
      <c r="C141" s="52" t="str">
        <f aca="false">IF($I141="","",INDEX(Customers!$A$12:$A$311,MOD($I141,1000))&amp;"")</f>
        <v/>
      </c>
      <c r="D141" s="53" t="str">
        <f aca="false">IF($I141="","",INDEX(Customers!$N$12:$N$311,MOD($I141,1000))/100)</f>
        <v/>
      </c>
      <c r="E141" s="54" t="str">
        <f aca="false">IF($I141="","",INDEX(Customers!$C$12:$C$311,MOD($I141,1000))&amp;"")</f>
        <v/>
      </c>
      <c r="F141" s="54"/>
      <c r="I141" s="55" t="str">
        <f aca="false">IF(122&gt;COUNT(Customers!$P$12:$P$311),"",SMALL(Customers!$P$12:$P$311,122))</f>
        <v/>
      </c>
    </row>
    <row r="142" customFormat="false" ht="15" hidden="false" customHeight="false" outlineLevel="0" collapsed="false">
      <c r="A142" s="50" t="str">
        <f aca="false">IF($I142="","",CHOOSE(INT($I142/1000)+1,"Monday","Tuesday","Wednesday","Thursday","Friday","Saturday","Sunday"))</f>
        <v/>
      </c>
      <c r="B142" s="51" t="str">
        <f aca="false">IF($I142="","",WeekMon+INT($I142/1000))</f>
        <v/>
      </c>
      <c r="C142" s="52" t="str">
        <f aca="false">IF($I142="","",INDEX(Customers!$A$12:$A$311,MOD($I142,1000))&amp;"")</f>
        <v/>
      </c>
      <c r="D142" s="53" t="str">
        <f aca="false">IF($I142="","",INDEX(Customers!$N$12:$N$311,MOD($I142,1000))/100)</f>
        <v/>
      </c>
      <c r="E142" s="54" t="str">
        <f aca="false">IF($I142="","",INDEX(Customers!$C$12:$C$311,MOD($I142,1000))&amp;"")</f>
        <v/>
      </c>
      <c r="F142" s="54"/>
      <c r="I142" s="55" t="str">
        <f aca="false">IF(123&gt;COUNT(Customers!$P$12:$P$311),"",SMALL(Customers!$P$12:$P$311,123))</f>
        <v/>
      </c>
    </row>
    <row r="143" customFormat="false" ht="15" hidden="false" customHeight="false" outlineLevel="0" collapsed="false">
      <c r="A143" s="50" t="str">
        <f aca="false">IF($I143="","",CHOOSE(INT($I143/1000)+1,"Monday","Tuesday","Wednesday","Thursday","Friday","Saturday","Sunday"))</f>
        <v/>
      </c>
      <c r="B143" s="51" t="str">
        <f aca="false">IF($I143="","",WeekMon+INT($I143/1000))</f>
        <v/>
      </c>
      <c r="C143" s="52" t="str">
        <f aca="false">IF($I143="","",INDEX(Customers!$A$12:$A$311,MOD($I143,1000))&amp;"")</f>
        <v/>
      </c>
      <c r="D143" s="53" t="str">
        <f aca="false">IF($I143="","",INDEX(Customers!$N$12:$N$311,MOD($I143,1000))/100)</f>
        <v/>
      </c>
      <c r="E143" s="54" t="str">
        <f aca="false">IF($I143="","",INDEX(Customers!$C$12:$C$311,MOD($I143,1000))&amp;"")</f>
        <v/>
      </c>
      <c r="F143" s="54"/>
      <c r="I143" s="55" t="str">
        <f aca="false">IF(124&gt;COUNT(Customers!$P$12:$P$311),"",SMALL(Customers!$P$12:$P$311,124))</f>
        <v/>
      </c>
    </row>
    <row r="144" customFormat="false" ht="15" hidden="false" customHeight="false" outlineLevel="0" collapsed="false">
      <c r="A144" s="50" t="str">
        <f aca="false">IF($I144="","",CHOOSE(INT($I144/1000)+1,"Monday","Tuesday","Wednesday","Thursday","Friday","Saturday","Sunday"))</f>
        <v/>
      </c>
      <c r="B144" s="51" t="str">
        <f aca="false">IF($I144="","",WeekMon+INT($I144/1000))</f>
        <v/>
      </c>
      <c r="C144" s="52" t="str">
        <f aca="false">IF($I144="","",INDEX(Customers!$A$12:$A$311,MOD($I144,1000))&amp;"")</f>
        <v/>
      </c>
      <c r="D144" s="53" t="str">
        <f aca="false">IF($I144="","",INDEX(Customers!$N$12:$N$311,MOD($I144,1000))/100)</f>
        <v/>
      </c>
      <c r="E144" s="54" t="str">
        <f aca="false">IF($I144="","",INDEX(Customers!$C$12:$C$311,MOD($I144,1000))&amp;"")</f>
        <v/>
      </c>
      <c r="F144" s="54"/>
      <c r="I144" s="55" t="str">
        <f aca="false">IF(125&gt;COUNT(Customers!$P$12:$P$311),"",SMALL(Customers!$P$12:$P$311,125))</f>
        <v/>
      </c>
    </row>
    <row r="145" customFormat="false" ht="15" hidden="false" customHeight="false" outlineLevel="0" collapsed="false">
      <c r="A145" s="50" t="str">
        <f aca="false">IF($I145="","",CHOOSE(INT($I145/1000)+1,"Monday","Tuesday","Wednesday","Thursday","Friday","Saturday","Sunday"))</f>
        <v/>
      </c>
      <c r="B145" s="51" t="str">
        <f aca="false">IF($I145="","",WeekMon+INT($I145/1000))</f>
        <v/>
      </c>
      <c r="C145" s="52" t="str">
        <f aca="false">IF($I145="","",INDEX(Customers!$A$12:$A$311,MOD($I145,1000))&amp;"")</f>
        <v/>
      </c>
      <c r="D145" s="53" t="str">
        <f aca="false">IF($I145="","",INDEX(Customers!$N$12:$N$311,MOD($I145,1000))/100)</f>
        <v/>
      </c>
      <c r="E145" s="54" t="str">
        <f aca="false">IF($I145="","",INDEX(Customers!$C$12:$C$311,MOD($I145,1000))&amp;"")</f>
        <v/>
      </c>
      <c r="F145" s="54"/>
      <c r="I145" s="55" t="str">
        <f aca="false">IF(126&gt;COUNT(Customers!$P$12:$P$311),"",SMALL(Customers!$P$12:$P$311,126))</f>
        <v/>
      </c>
    </row>
    <row r="146" customFormat="false" ht="15" hidden="false" customHeight="false" outlineLevel="0" collapsed="false">
      <c r="A146" s="50" t="str">
        <f aca="false">IF($I146="","",CHOOSE(INT($I146/1000)+1,"Monday","Tuesday","Wednesday","Thursday","Friday","Saturday","Sunday"))</f>
        <v/>
      </c>
      <c r="B146" s="51" t="str">
        <f aca="false">IF($I146="","",WeekMon+INT($I146/1000))</f>
        <v/>
      </c>
      <c r="C146" s="52" t="str">
        <f aca="false">IF($I146="","",INDEX(Customers!$A$12:$A$311,MOD($I146,1000))&amp;"")</f>
        <v/>
      </c>
      <c r="D146" s="53" t="str">
        <f aca="false">IF($I146="","",INDEX(Customers!$N$12:$N$311,MOD($I146,1000))/100)</f>
        <v/>
      </c>
      <c r="E146" s="54" t="str">
        <f aca="false">IF($I146="","",INDEX(Customers!$C$12:$C$311,MOD($I146,1000))&amp;"")</f>
        <v/>
      </c>
      <c r="F146" s="54"/>
      <c r="I146" s="55" t="str">
        <f aca="false">IF(127&gt;COUNT(Customers!$P$12:$P$311),"",SMALL(Customers!$P$12:$P$311,127))</f>
        <v/>
      </c>
    </row>
    <row r="147" customFormat="false" ht="15" hidden="false" customHeight="false" outlineLevel="0" collapsed="false">
      <c r="A147" s="50" t="str">
        <f aca="false">IF($I147="","",CHOOSE(INT($I147/1000)+1,"Monday","Tuesday","Wednesday","Thursday","Friday","Saturday","Sunday"))</f>
        <v/>
      </c>
      <c r="B147" s="51" t="str">
        <f aca="false">IF($I147="","",WeekMon+INT($I147/1000))</f>
        <v/>
      </c>
      <c r="C147" s="52" t="str">
        <f aca="false">IF($I147="","",INDEX(Customers!$A$12:$A$311,MOD($I147,1000))&amp;"")</f>
        <v/>
      </c>
      <c r="D147" s="53" t="str">
        <f aca="false">IF($I147="","",INDEX(Customers!$N$12:$N$311,MOD($I147,1000))/100)</f>
        <v/>
      </c>
      <c r="E147" s="54" t="str">
        <f aca="false">IF($I147="","",INDEX(Customers!$C$12:$C$311,MOD($I147,1000))&amp;"")</f>
        <v/>
      </c>
      <c r="F147" s="54"/>
      <c r="I147" s="55" t="str">
        <f aca="false">IF(128&gt;COUNT(Customers!$P$12:$P$311),"",SMALL(Customers!$P$12:$P$311,128))</f>
        <v/>
      </c>
    </row>
    <row r="148" customFormat="false" ht="15" hidden="false" customHeight="false" outlineLevel="0" collapsed="false">
      <c r="A148" s="50" t="str">
        <f aca="false">IF($I148="","",CHOOSE(INT($I148/1000)+1,"Monday","Tuesday","Wednesday","Thursday","Friday","Saturday","Sunday"))</f>
        <v/>
      </c>
      <c r="B148" s="51" t="str">
        <f aca="false">IF($I148="","",WeekMon+INT($I148/1000))</f>
        <v/>
      </c>
      <c r="C148" s="52" t="str">
        <f aca="false">IF($I148="","",INDEX(Customers!$A$12:$A$311,MOD($I148,1000))&amp;"")</f>
        <v/>
      </c>
      <c r="D148" s="53" t="str">
        <f aca="false">IF($I148="","",INDEX(Customers!$N$12:$N$311,MOD($I148,1000))/100)</f>
        <v/>
      </c>
      <c r="E148" s="54" t="str">
        <f aca="false">IF($I148="","",INDEX(Customers!$C$12:$C$311,MOD($I148,1000))&amp;"")</f>
        <v/>
      </c>
      <c r="F148" s="54"/>
      <c r="I148" s="55" t="str">
        <f aca="false">IF(129&gt;COUNT(Customers!$P$12:$P$311),"",SMALL(Customers!$P$12:$P$311,129))</f>
        <v/>
      </c>
    </row>
    <row r="149" customFormat="false" ht="15" hidden="false" customHeight="false" outlineLevel="0" collapsed="false">
      <c r="A149" s="50" t="str">
        <f aca="false">IF($I149="","",CHOOSE(INT($I149/1000)+1,"Monday","Tuesday","Wednesday","Thursday","Friday","Saturday","Sunday"))</f>
        <v/>
      </c>
      <c r="B149" s="51" t="str">
        <f aca="false">IF($I149="","",WeekMon+INT($I149/1000))</f>
        <v/>
      </c>
      <c r="C149" s="52" t="str">
        <f aca="false">IF($I149="","",INDEX(Customers!$A$12:$A$311,MOD($I149,1000))&amp;"")</f>
        <v/>
      </c>
      <c r="D149" s="53" t="str">
        <f aca="false">IF($I149="","",INDEX(Customers!$N$12:$N$311,MOD($I149,1000))/100)</f>
        <v/>
      </c>
      <c r="E149" s="54" t="str">
        <f aca="false">IF($I149="","",INDEX(Customers!$C$12:$C$311,MOD($I149,1000))&amp;"")</f>
        <v/>
      </c>
      <c r="F149" s="54"/>
      <c r="I149" s="55" t="str">
        <f aca="false">IF(130&gt;COUNT(Customers!$P$12:$P$311),"",SMALL(Customers!$P$12:$P$311,130))</f>
        <v/>
      </c>
    </row>
    <row r="150" customFormat="false" ht="15" hidden="false" customHeight="false" outlineLevel="0" collapsed="false">
      <c r="A150" s="50" t="str">
        <f aca="false">IF($I150="","",CHOOSE(INT($I150/1000)+1,"Monday","Tuesday","Wednesday","Thursday","Friday","Saturday","Sunday"))</f>
        <v/>
      </c>
      <c r="B150" s="51" t="str">
        <f aca="false">IF($I150="","",WeekMon+INT($I150/1000))</f>
        <v/>
      </c>
      <c r="C150" s="52" t="str">
        <f aca="false">IF($I150="","",INDEX(Customers!$A$12:$A$311,MOD($I150,1000))&amp;"")</f>
        <v/>
      </c>
      <c r="D150" s="53" t="str">
        <f aca="false">IF($I150="","",INDEX(Customers!$N$12:$N$311,MOD($I150,1000))/100)</f>
        <v/>
      </c>
      <c r="E150" s="54" t="str">
        <f aca="false">IF($I150="","",INDEX(Customers!$C$12:$C$311,MOD($I150,1000))&amp;"")</f>
        <v/>
      </c>
      <c r="F150" s="54"/>
      <c r="I150" s="55" t="str">
        <f aca="false">IF(131&gt;COUNT(Customers!$P$12:$P$311),"",SMALL(Customers!$P$12:$P$311,131))</f>
        <v/>
      </c>
    </row>
    <row r="151" customFormat="false" ht="15" hidden="false" customHeight="false" outlineLevel="0" collapsed="false">
      <c r="A151" s="50" t="str">
        <f aca="false">IF($I151="","",CHOOSE(INT($I151/1000)+1,"Monday","Tuesday","Wednesday","Thursday","Friday","Saturday","Sunday"))</f>
        <v/>
      </c>
      <c r="B151" s="51" t="str">
        <f aca="false">IF($I151="","",WeekMon+INT($I151/1000))</f>
        <v/>
      </c>
      <c r="C151" s="52" t="str">
        <f aca="false">IF($I151="","",INDEX(Customers!$A$12:$A$311,MOD($I151,1000))&amp;"")</f>
        <v/>
      </c>
      <c r="D151" s="53" t="str">
        <f aca="false">IF($I151="","",INDEX(Customers!$N$12:$N$311,MOD($I151,1000))/100)</f>
        <v/>
      </c>
      <c r="E151" s="54" t="str">
        <f aca="false">IF($I151="","",INDEX(Customers!$C$12:$C$311,MOD($I151,1000))&amp;"")</f>
        <v/>
      </c>
      <c r="F151" s="54"/>
      <c r="I151" s="55" t="str">
        <f aca="false">IF(132&gt;COUNT(Customers!$P$12:$P$311),"",SMALL(Customers!$P$12:$P$311,132))</f>
        <v/>
      </c>
    </row>
    <row r="152" customFormat="false" ht="15" hidden="false" customHeight="false" outlineLevel="0" collapsed="false">
      <c r="A152" s="50" t="str">
        <f aca="false">IF($I152="","",CHOOSE(INT($I152/1000)+1,"Monday","Tuesday","Wednesday","Thursday","Friday","Saturday","Sunday"))</f>
        <v/>
      </c>
      <c r="B152" s="51" t="str">
        <f aca="false">IF($I152="","",WeekMon+INT($I152/1000))</f>
        <v/>
      </c>
      <c r="C152" s="52" t="str">
        <f aca="false">IF($I152="","",INDEX(Customers!$A$12:$A$311,MOD($I152,1000))&amp;"")</f>
        <v/>
      </c>
      <c r="D152" s="53" t="str">
        <f aca="false">IF($I152="","",INDEX(Customers!$N$12:$N$311,MOD($I152,1000))/100)</f>
        <v/>
      </c>
      <c r="E152" s="54" t="str">
        <f aca="false">IF($I152="","",INDEX(Customers!$C$12:$C$311,MOD($I152,1000))&amp;"")</f>
        <v/>
      </c>
      <c r="F152" s="54"/>
      <c r="I152" s="55" t="str">
        <f aca="false">IF(133&gt;COUNT(Customers!$P$12:$P$311),"",SMALL(Customers!$P$12:$P$311,133))</f>
        <v/>
      </c>
    </row>
    <row r="153" customFormat="false" ht="15" hidden="false" customHeight="false" outlineLevel="0" collapsed="false">
      <c r="A153" s="50" t="str">
        <f aca="false">IF($I153="","",CHOOSE(INT($I153/1000)+1,"Monday","Tuesday","Wednesday","Thursday","Friday","Saturday","Sunday"))</f>
        <v/>
      </c>
      <c r="B153" s="51" t="str">
        <f aca="false">IF($I153="","",WeekMon+INT($I153/1000))</f>
        <v/>
      </c>
      <c r="C153" s="52" t="str">
        <f aca="false">IF($I153="","",INDEX(Customers!$A$12:$A$311,MOD($I153,1000))&amp;"")</f>
        <v/>
      </c>
      <c r="D153" s="53" t="str">
        <f aca="false">IF($I153="","",INDEX(Customers!$N$12:$N$311,MOD($I153,1000))/100)</f>
        <v/>
      </c>
      <c r="E153" s="54" t="str">
        <f aca="false">IF($I153="","",INDEX(Customers!$C$12:$C$311,MOD($I153,1000))&amp;"")</f>
        <v/>
      </c>
      <c r="F153" s="54"/>
      <c r="I153" s="55" t="str">
        <f aca="false">IF(134&gt;COUNT(Customers!$P$12:$P$311),"",SMALL(Customers!$P$12:$P$311,134))</f>
        <v/>
      </c>
    </row>
    <row r="154" customFormat="false" ht="15" hidden="false" customHeight="false" outlineLevel="0" collapsed="false">
      <c r="A154" s="50" t="str">
        <f aca="false">IF($I154="","",CHOOSE(INT($I154/1000)+1,"Monday","Tuesday","Wednesday","Thursday","Friday","Saturday","Sunday"))</f>
        <v/>
      </c>
      <c r="B154" s="51" t="str">
        <f aca="false">IF($I154="","",WeekMon+INT($I154/1000))</f>
        <v/>
      </c>
      <c r="C154" s="52" t="str">
        <f aca="false">IF($I154="","",INDEX(Customers!$A$12:$A$311,MOD($I154,1000))&amp;"")</f>
        <v/>
      </c>
      <c r="D154" s="53" t="str">
        <f aca="false">IF($I154="","",INDEX(Customers!$N$12:$N$311,MOD($I154,1000))/100)</f>
        <v/>
      </c>
      <c r="E154" s="54" t="str">
        <f aca="false">IF($I154="","",INDEX(Customers!$C$12:$C$311,MOD($I154,1000))&amp;"")</f>
        <v/>
      </c>
      <c r="F154" s="54"/>
      <c r="I154" s="55" t="str">
        <f aca="false">IF(135&gt;COUNT(Customers!$P$12:$P$311),"",SMALL(Customers!$P$12:$P$311,135))</f>
        <v/>
      </c>
    </row>
    <row r="155" customFormat="false" ht="15" hidden="false" customHeight="false" outlineLevel="0" collapsed="false">
      <c r="A155" s="50" t="str">
        <f aca="false">IF($I155="","",CHOOSE(INT($I155/1000)+1,"Monday","Tuesday","Wednesday","Thursday","Friday","Saturday","Sunday"))</f>
        <v/>
      </c>
      <c r="B155" s="51" t="str">
        <f aca="false">IF($I155="","",WeekMon+INT($I155/1000))</f>
        <v/>
      </c>
      <c r="C155" s="52" t="str">
        <f aca="false">IF($I155="","",INDEX(Customers!$A$12:$A$311,MOD($I155,1000))&amp;"")</f>
        <v/>
      </c>
      <c r="D155" s="53" t="str">
        <f aca="false">IF($I155="","",INDEX(Customers!$N$12:$N$311,MOD($I155,1000))/100)</f>
        <v/>
      </c>
      <c r="E155" s="54" t="str">
        <f aca="false">IF($I155="","",INDEX(Customers!$C$12:$C$311,MOD($I155,1000))&amp;"")</f>
        <v/>
      </c>
      <c r="F155" s="54"/>
      <c r="I155" s="55" t="str">
        <f aca="false">IF(136&gt;COUNT(Customers!$P$12:$P$311),"",SMALL(Customers!$P$12:$P$311,136))</f>
        <v/>
      </c>
    </row>
    <row r="156" customFormat="false" ht="15" hidden="false" customHeight="false" outlineLevel="0" collapsed="false">
      <c r="A156" s="50" t="str">
        <f aca="false">IF($I156="","",CHOOSE(INT($I156/1000)+1,"Monday","Tuesday","Wednesday","Thursday","Friday","Saturday","Sunday"))</f>
        <v/>
      </c>
      <c r="B156" s="51" t="str">
        <f aca="false">IF($I156="","",WeekMon+INT($I156/1000))</f>
        <v/>
      </c>
      <c r="C156" s="52" t="str">
        <f aca="false">IF($I156="","",INDEX(Customers!$A$12:$A$311,MOD($I156,1000))&amp;"")</f>
        <v/>
      </c>
      <c r="D156" s="53" t="str">
        <f aca="false">IF($I156="","",INDEX(Customers!$N$12:$N$311,MOD($I156,1000))/100)</f>
        <v/>
      </c>
      <c r="E156" s="54" t="str">
        <f aca="false">IF($I156="","",INDEX(Customers!$C$12:$C$311,MOD($I156,1000))&amp;"")</f>
        <v/>
      </c>
      <c r="F156" s="54"/>
      <c r="I156" s="55" t="str">
        <f aca="false">IF(137&gt;COUNT(Customers!$P$12:$P$311),"",SMALL(Customers!$P$12:$P$311,137))</f>
        <v/>
      </c>
    </row>
    <row r="157" customFormat="false" ht="15" hidden="false" customHeight="false" outlineLevel="0" collapsed="false">
      <c r="A157" s="50" t="str">
        <f aca="false">IF($I157="","",CHOOSE(INT($I157/1000)+1,"Monday","Tuesday","Wednesday","Thursday","Friday","Saturday","Sunday"))</f>
        <v/>
      </c>
      <c r="B157" s="51" t="str">
        <f aca="false">IF($I157="","",WeekMon+INT($I157/1000))</f>
        <v/>
      </c>
      <c r="C157" s="52" t="str">
        <f aca="false">IF($I157="","",INDEX(Customers!$A$12:$A$311,MOD($I157,1000))&amp;"")</f>
        <v/>
      </c>
      <c r="D157" s="53" t="str">
        <f aca="false">IF($I157="","",INDEX(Customers!$N$12:$N$311,MOD($I157,1000))/100)</f>
        <v/>
      </c>
      <c r="E157" s="54" t="str">
        <f aca="false">IF($I157="","",INDEX(Customers!$C$12:$C$311,MOD($I157,1000))&amp;"")</f>
        <v/>
      </c>
      <c r="F157" s="54"/>
      <c r="I157" s="55" t="str">
        <f aca="false">IF(138&gt;COUNT(Customers!$P$12:$P$311),"",SMALL(Customers!$P$12:$P$311,138))</f>
        <v/>
      </c>
    </row>
    <row r="158" customFormat="false" ht="15" hidden="false" customHeight="false" outlineLevel="0" collapsed="false">
      <c r="A158" s="50" t="str">
        <f aca="false">IF($I158="","",CHOOSE(INT($I158/1000)+1,"Monday","Tuesday","Wednesday","Thursday","Friday","Saturday","Sunday"))</f>
        <v/>
      </c>
      <c r="B158" s="51" t="str">
        <f aca="false">IF($I158="","",WeekMon+INT($I158/1000))</f>
        <v/>
      </c>
      <c r="C158" s="52" t="str">
        <f aca="false">IF($I158="","",INDEX(Customers!$A$12:$A$311,MOD($I158,1000))&amp;"")</f>
        <v/>
      </c>
      <c r="D158" s="53" t="str">
        <f aca="false">IF($I158="","",INDEX(Customers!$N$12:$N$311,MOD($I158,1000))/100)</f>
        <v/>
      </c>
      <c r="E158" s="54" t="str">
        <f aca="false">IF($I158="","",INDEX(Customers!$C$12:$C$311,MOD($I158,1000))&amp;"")</f>
        <v/>
      </c>
      <c r="F158" s="54"/>
      <c r="I158" s="55" t="str">
        <f aca="false">IF(139&gt;COUNT(Customers!$P$12:$P$311),"",SMALL(Customers!$P$12:$P$311,139))</f>
        <v/>
      </c>
    </row>
    <row r="159" customFormat="false" ht="15" hidden="false" customHeight="false" outlineLevel="0" collapsed="false">
      <c r="A159" s="50" t="str">
        <f aca="false">IF($I159="","",CHOOSE(INT($I159/1000)+1,"Monday","Tuesday","Wednesday","Thursday","Friday","Saturday","Sunday"))</f>
        <v/>
      </c>
      <c r="B159" s="51" t="str">
        <f aca="false">IF($I159="","",WeekMon+INT($I159/1000))</f>
        <v/>
      </c>
      <c r="C159" s="52" t="str">
        <f aca="false">IF($I159="","",INDEX(Customers!$A$12:$A$311,MOD($I159,1000))&amp;"")</f>
        <v/>
      </c>
      <c r="D159" s="53" t="str">
        <f aca="false">IF($I159="","",INDEX(Customers!$N$12:$N$311,MOD($I159,1000))/100)</f>
        <v/>
      </c>
      <c r="E159" s="54" t="str">
        <f aca="false">IF($I159="","",INDEX(Customers!$C$12:$C$311,MOD($I159,1000))&amp;"")</f>
        <v/>
      </c>
      <c r="F159" s="54"/>
      <c r="I159" s="55" t="str">
        <f aca="false">IF(140&gt;COUNT(Customers!$P$12:$P$311),"",SMALL(Customers!$P$12:$P$311,140))</f>
        <v/>
      </c>
    </row>
    <row r="160" customFormat="false" ht="15" hidden="false" customHeight="false" outlineLevel="0" collapsed="false">
      <c r="A160" s="50" t="str">
        <f aca="false">IF($I160="","",CHOOSE(INT($I160/1000)+1,"Monday","Tuesday","Wednesday","Thursday","Friday","Saturday","Sunday"))</f>
        <v/>
      </c>
      <c r="B160" s="51" t="str">
        <f aca="false">IF($I160="","",WeekMon+INT($I160/1000))</f>
        <v/>
      </c>
      <c r="C160" s="52" t="str">
        <f aca="false">IF($I160="","",INDEX(Customers!$A$12:$A$311,MOD($I160,1000))&amp;"")</f>
        <v/>
      </c>
      <c r="D160" s="53" t="str">
        <f aca="false">IF($I160="","",INDEX(Customers!$N$12:$N$311,MOD($I160,1000))/100)</f>
        <v/>
      </c>
      <c r="E160" s="54" t="str">
        <f aca="false">IF($I160="","",INDEX(Customers!$C$12:$C$311,MOD($I160,1000))&amp;"")</f>
        <v/>
      </c>
      <c r="F160" s="54"/>
      <c r="I160" s="55" t="str">
        <f aca="false">IF(141&gt;COUNT(Customers!$P$12:$P$311),"",SMALL(Customers!$P$12:$P$311,141))</f>
        <v/>
      </c>
    </row>
    <row r="161" customFormat="false" ht="15" hidden="false" customHeight="false" outlineLevel="0" collapsed="false">
      <c r="A161" s="50" t="str">
        <f aca="false">IF($I161="","",CHOOSE(INT($I161/1000)+1,"Monday","Tuesday","Wednesday","Thursday","Friday","Saturday","Sunday"))</f>
        <v/>
      </c>
      <c r="B161" s="51" t="str">
        <f aca="false">IF($I161="","",WeekMon+INT($I161/1000))</f>
        <v/>
      </c>
      <c r="C161" s="52" t="str">
        <f aca="false">IF($I161="","",INDEX(Customers!$A$12:$A$311,MOD($I161,1000))&amp;"")</f>
        <v/>
      </c>
      <c r="D161" s="53" t="str">
        <f aca="false">IF($I161="","",INDEX(Customers!$N$12:$N$311,MOD($I161,1000))/100)</f>
        <v/>
      </c>
      <c r="E161" s="54" t="str">
        <f aca="false">IF($I161="","",INDEX(Customers!$C$12:$C$311,MOD($I161,1000))&amp;"")</f>
        <v/>
      </c>
      <c r="F161" s="54"/>
      <c r="I161" s="55" t="str">
        <f aca="false">IF(142&gt;COUNT(Customers!$P$12:$P$311),"",SMALL(Customers!$P$12:$P$311,142))</f>
        <v/>
      </c>
    </row>
    <row r="162" customFormat="false" ht="15" hidden="false" customHeight="false" outlineLevel="0" collapsed="false">
      <c r="A162" s="50" t="str">
        <f aca="false">IF($I162="","",CHOOSE(INT($I162/1000)+1,"Monday","Tuesday","Wednesday","Thursday","Friday","Saturday","Sunday"))</f>
        <v/>
      </c>
      <c r="B162" s="51" t="str">
        <f aca="false">IF($I162="","",WeekMon+INT($I162/1000))</f>
        <v/>
      </c>
      <c r="C162" s="52" t="str">
        <f aca="false">IF($I162="","",INDEX(Customers!$A$12:$A$311,MOD($I162,1000))&amp;"")</f>
        <v/>
      </c>
      <c r="D162" s="53" t="str">
        <f aca="false">IF($I162="","",INDEX(Customers!$N$12:$N$311,MOD($I162,1000))/100)</f>
        <v/>
      </c>
      <c r="E162" s="54" t="str">
        <f aca="false">IF($I162="","",INDEX(Customers!$C$12:$C$311,MOD($I162,1000))&amp;"")</f>
        <v/>
      </c>
      <c r="F162" s="54"/>
      <c r="I162" s="55" t="str">
        <f aca="false">IF(143&gt;COUNT(Customers!$P$12:$P$311),"",SMALL(Customers!$P$12:$P$311,143))</f>
        <v/>
      </c>
    </row>
    <row r="163" customFormat="false" ht="15" hidden="false" customHeight="false" outlineLevel="0" collapsed="false">
      <c r="A163" s="50" t="str">
        <f aca="false">IF($I163="","",CHOOSE(INT($I163/1000)+1,"Monday","Tuesday","Wednesday","Thursday","Friday","Saturday","Sunday"))</f>
        <v/>
      </c>
      <c r="B163" s="51" t="str">
        <f aca="false">IF($I163="","",WeekMon+INT($I163/1000))</f>
        <v/>
      </c>
      <c r="C163" s="52" t="str">
        <f aca="false">IF($I163="","",INDEX(Customers!$A$12:$A$311,MOD($I163,1000))&amp;"")</f>
        <v/>
      </c>
      <c r="D163" s="53" t="str">
        <f aca="false">IF($I163="","",INDEX(Customers!$N$12:$N$311,MOD($I163,1000))/100)</f>
        <v/>
      </c>
      <c r="E163" s="54" t="str">
        <f aca="false">IF($I163="","",INDEX(Customers!$C$12:$C$311,MOD($I163,1000))&amp;"")</f>
        <v/>
      </c>
      <c r="F163" s="54"/>
      <c r="I163" s="55" t="str">
        <f aca="false">IF(144&gt;COUNT(Customers!$P$12:$P$311),"",SMALL(Customers!$P$12:$P$311,144))</f>
        <v/>
      </c>
    </row>
    <row r="164" customFormat="false" ht="15" hidden="false" customHeight="false" outlineLevel="0" collapsed="false">
      <c r="A164" s="50" t="str">
        <f aca="false">IF($I164="","",CHOOSE(INT($I164/1000)+1,"Monday","Tuesday","Wednesday","Thursday","Friday","Saturday","Sunday"))</f>
        <v/>
      </c>
      <c r="B164" s="51" t="str">
        <f aca="false">IF($I164="","",WeekMon+INT($I164/1000))</f>
        <v/>
      </c>
      <c r="C164" s="52" t="str">
        <f aca="false">IF($I164="","",INDEX(Customers!$A$12:$A$311,MOD($I164,1000))&amp;"")</f>
        <v/>
      </c>
      <c r="D164" s="53" t="str">
        <f aca="false">IF($I164="","",INDEX(Customers!$N$12:$N$311,MOD($I164,1000))/100)</f>
        <v/>
      </c>
      <c r="E164" s="54" t="str">
        <f aca="false">IF($I164="","",INDEX(Customers!$C$12:$C$311,MOD($I164,1000))&amp;"")</f>
        <v/>
      </c>
      <c r="F164" s="54"/>
      <c r="I164" s="55" t="str">
        <f aca="false">IF(145&gt;COUNT(Customers!$P$12:$P$311),"",SMALL(Customers!$P$12:$P$311,145))</f>
        <v/>
      </c>
    </row>
    <row r="165" customFormat="false" ht="15" hidden="false" customHeight="false" outlineLevel="0" collapsed="false">
      <c r="A165" s="50" t="str">
        <f aca="false">IF($I165="","",CHOOSE(INT($I165/1000)+1,"Monday","Tuesday","Wednesday","Thursday","Friday","Saturday","Sunday"))</f>
        <v/>
      </c>
      <c r="B165" s="51" t="str">
        <f aca="false">IF($I165="","",WeekMon+INT($I165/1000))</f>
        <v/>
      </c>
      <c r="C165" s="52" t="str">
        <f aca="false">IF($I165="","",INDEX(Customers!$A$12:$A$311,MOD($I165,1000))&amp;"")</f>
        <v/>
      </c>
      <c r="D165" s="53" t="str">
        <f aca="false">IF($I165="","",INDEX(Customers!$N$12:$N$311,MOD($I165,1000))/100)</f>
        <v/>
      </c>
      <c r="E165" s="54" t="str">
        <f aca="false">IF($I165="","",INDEX(Customers!$C$12:$C$311,MOD($I165,1000))&amp;"")</f>
        <v/>
      </c>
      <c r="F165" s="54"/>
      <c r="I165" s="55" t="str">
        <f aca="false">IF(146&gt;COUNT(Customers!$P$12:$P$311),"",SMALL(Customers!$P$12:$P$311,146))</f>
        <v/>
      </c>
    </row>
    <row r="166" customFormat="false" ht="15" hidden="false" customHeight="false" outlineLevel="0" collapsed="false">
      <c r="A166" s="50" t="str">
        <f aca="false">IF($I166="","",CHOOSE(INT($I166/1000)+1,"Monday","Tuesday","Wednesday","Thursday","Friday","Saturday","Sunday"))</f>
        <v/>
      </c>
      <c r="B166" s="51" t="str">
        <f aca="false">IF($I166="","",WeekMon+INT($I166/1000))</f>
        <v/>
      </c>
      <c r="C166" s="52" t="str">
        <f aca="false">IF($I166="","",INDEX(Customers!$A$12:$A$311,MOD($I166,1000))&amp;"")</f>
        <v/>
      </c>
      <c r="D166" s="53" t="str">
        <f aca="false">IF($I166="","",INDEX(Customers!$N$12:$N$311,MOD($I166,1000))/100)</f>
        <v/>
      </c>
      <c r="E166" s="54" t="str">
        <f aca="false">IF($I166="","",INDEX(Customers!$C$12:$C$311,MOD($I166,1000))&amp;"")</f>
        <v/>
      </c>
      <c r="F166" s="54"/>
      <c r="I166" s="55" t="str">
        <f aca="false">IF(147&gt;COUNT(Customers!$P$12:$P$311),"",SMALL(Customers!$P$12:$P$311,147))</f>
        <v/>
      </c>
    </row>
    <row r="167" customFormat="false" ht="15" hidden="false" customHeight="false" outlineLevel="0" collapsed="false">
      <c r="A167" s="50" t="str">
        <f aca="false">IF($I167="","",CHOOSE(INT($I167/1000)+1,"Monday","Tuesday","Wednesday","Thursday","Friday","Saturday","Sunday"))</f>
        <v/>
      </c>
      <c r="B167" s="51" t="str">
        <f aca="false">IF($I167="","",WeekMon+INT($I167/1000))</f>
        <v/>
      </c>
      <c r="C167" s="52" t="str">
        <f aca="false">IF($I167="","",INDEX(Customers!$A$12:$A$311,MOD($I167,1000))&amp;"")</f>
        <v/>
      </c>
      <c r="D167" s="53" t="str">
        <f aca="false">IF($I167="","",INDEX(Customers!$N$12:$N$311,MOD($I167,1000))/100)</f>
        <v/>
      </c>
      <c r="E167" s="54" t="str">
        <f aca="false">IF($I167="","",INDEX(Customers!$C$12:$C$311,MOD($I167,1000))&amp;"")</f>
        <v/>
      </c>
      <c r="F167" s="54"/>
      <c r="I167" s="55" t="str">
        <f aca="false">IF(148&gt;COUNT(Customers!$P$12:$P$311),"",SMALL(Customers!$P$12:$P$311,148))</f>
        <v/>
      </c>
    </row>
    <row r="168" customFormat="false" ht="15" hidden="false" customHeight="false" outlineLevel="0" collapsed="false">
      <c r="A168" s="50" t="str">
        <f aca="false">IF($I168="","",CHOOSE(INT($I168/1000)+1,"Monday","Tuesday","Wednesday","Thursday","Friday","Saturday","Sunday"))</f>
        <v/>
      </c>
      <c r="B168" s="51" t="str">
        <f aca="false">IF($I168="","",WeekMon+INT($I168/1000))</f>
        <v/>
      </c>
      <c r="C168" s="52" t="str">
        <f aca="false">IF($I168="","",INDEX(Customers!$A$12:$A$311,MOD($I168,1000))&amp;"")</f>
        <v/>
      </c>
      <c r="D168" s="53" t="str">
        <f aca="false">IF($I168="","",INDEX(Customers!$N$12:$N$311,MOD($I168,1000))/100)</f>
        <v/>
      </c>
      <c r="E168" s="54" t="str">
        <f aca="false">IF($I168="","",INDEX(Customers!$C$12:$C$311,MOD($I168,1000))&amp;"")</f>
        <v/>
      </c>
      <c r="F168" s="54"/>
      <c r="I168" s="55" t="str">
        <f aca="false">IF(149&gt;COUNT(Customers!$P$12:$P$311),"",SMALL(Customers!$P$12:$P$311,149))</f>
        <v/>
      </c>
    </row>
    <row r="169" customFormat="false" ht="15" hidden="false" customHeight="false" outlineLevel="0" collapsed="false">
      <c r="A169" s="50" t="str">
        <f aca="false">IF($I169="","",CHOOSE(INT($I169/1000)+1,"Monday","Tuesday","Wednesday","Thursday","Friday","Saturday","Sunday"))</f>
        <v/>
      </c>
      <c r="B169" s="51" t="str">
        <f aca="false">IF($I169="","",WeekMon+INT($I169/1000))</f>
        <v/>
      </c>
      <c r="C169" s="52" t="str">
        <f aca="false">IF($I169="","",INDEX(Customers!$A$12:$A$311,MOD($I169,1000))&amp;"")</f>
        <v/>
      </c>
      <c r="D169" s="53" t="str">
        <f aca="false">IF($I169="","",INDEX(Customers!$N$12:$N$311,MOD($I169,1000))/100)</f>
        <v/>
      </c>
      <c r="E169" s="54" t="str">
        <f aca="false">IF($I169="","",INDEX(Customers!$C$12:$C$311,MOD($I169,1000))&amp;"")</f>
        <v/>
      </c>
      <c r="F169" s="54"/>
      <c r="I169" s="55" t="str">
        <f aca="false">IF(150&gt;COUNT(Customers!$P$12:$P$311),"",SMALL(Customers!$P$12:$P$311,150))</f>
        <v/>
      </c>
    </row>
    <row r="170" customFormat="false" ht="15" hidden="false" customHeight="false" outlineLevel="0" collapsed="false">
      <c r="A170" s="50" t="str">
        <f aca="false">IF($I170="","",CHOOSE(INT($I170/1000)+1,"Monday","Tuesday","Wednesday","Thursday","Friday","Saturday","Sunday"))</f>
        <v/>
      </c>
      <c r="B170" s="51" t="str">
        <f aca="false">IF($I170="","",WeekMon+INT($I170/1000))</f>
        <v/>
      </c>
      <c r="C170" s="52" t="str">
        <f aca="false">IF($I170="","",INDEX(Customers!$A$12:$A$311,MOD($I170,1000))&amp;"")</f>
        <v/>
      </c>
      <c r="D170" s="53" t="str">
        <f aca="false">IF($I170="","",INDEX(Customers!$N$12:$N$311,MOD($I170,1000))/100)</f>
        <v/>
      </c>
      <c r="E170" s="54" t="str">
        <f aca="false">IF($I170="","",INDEX(Customers!$C$12:$C$311,MOD($I170,1000))&amp;"")</f>
        <v/>
      </c>
      <c r="F170" s="54"/>
      <c r="I170" s="55" t="str">
        <f aca="false">IF(151&gt;COUNT(Customers!$P$12:$P$311),"",SMALL(Customers!$P$12:$P$311,151))</f>
        <v/>
      </c>
    </row>
    <row r="171" customFormat="false" ht="15" hidden="false" customHeight="false" outlineLevel="0" collapsed="false">
      <c r="A171" s="50" t="str">
        <f aca="false">IF($I171="","",CHOOSE(INT($I171/1000)+1,"Monday","Tuesday","Wednesday","Thursday","Friday","Saturday","Sunday"))</f>
        <v/>
      </c>
      <c r="B171" s="51" t="str">
        <f aca="false">IF($I171="","",WeekMon+INT($I171/1000))</f>
        <v/>
      </c>
      <c r="C171" s="52" t="str">
        <f aca="false">IF($I171="","",INDEX(Customers!$A$12:$A$311,MOD($I171,1000))&amp;"")</f>
        <v/>
      </c>
      <c r="D171" s="53" t="str">
        <f aca="false">IF($I171="","",INDEX(Customers!$N$12:$N$311,MOD($I171,1000))/100)</f>
        <v/>
      </c>
      <c r="E171" s="54" t="str">
        <f aca="false">IF($I171="","",INDEX(Customers!$C$12:$C$311,MOD($I171,1000))&amp;"")</f>
        <v/>
      </c>
      <c r="F171" s="54"/>
      <c r="I171" s="55" t="str">
        <f aca="false">IF(152&gt;COUNT(Customers!$P$12:$P$311),"",SMALL(Customers!$P$12:$P$311,152))</f>
        <v/>
      </c>
    </row>
    <row r="172" customFormat="false" ht="15" hidden="false" customHeight="false" outlineLevel="0" collapsed="false">
      <c r="A172" s="50" t="str">
        <f aca="false">IF($I172="","",CHOOSE(INT($I172/1000)+1,"Monday","Tuesday","Wednesday","Thursday","Friday","Saturday","Sunday"))</f>
        <v/>
      </c>
      <c r="B172" s="51" t="str">
        <f aca="false">IF($I172="","",WeekMon+INT($I172/1000))</f>
        <v/>
      </c>
      <c r="C172" s="52" t="str">
        <f aca="false">IF($I172="","",INDEX(Customers!$A$12:$A$311,MOD($I172,1000))&amp;"")</f>
        <v/>
      </c>
      <c r="D172" s="53" t="str">
        <f aca="false">IF($I172="","",INDEX(Customers!$N$12:$N$311,MOD($I172,1000))/100)</f>
        <v/>
      </c>
      <c r="E172" s="54" t="str">
        <f aca="false">IF($I172="","",INDEX(Customers!$C$12:$C$311,MOD($I172,1000))&amp;"")</f>
        <v/>
      </c>
      <c r="F172" s="54"/>
      <c r="I172" s="55" t="str">
        <f aca="false">IF(153&gt;COUNT(Customers!$P$12:$P$311),"",SMALL(Customers!$P$12:$P$311,153))</f>
        <v/>
      </c>
    </row>
    <row r="173" customFormat="false" ht="15" hidden="false" customHeight="false" outlineLevel="0" collapsed="false">
      <c r="A173" s="50" t="str">
        <f aca="false">IF($I173="","",CHOOSE(INT($I173/1000)+1,"Monday","Tuesday","Wednesday","Thursday","Friday","Saturday","Sunday"))</f>
        <v/>
      </c>
      <c r="B173" s="51" t="str">
        <f aca="false">IF($I173="","",WeekMon+INT($I173/1000))</f>
        <v/>
      </c>
      <c r="C173" s="52" t="str">
        <f aca="false">IF($I173="","",INDEX(Customers!$A$12:$A$311,MOD($I173,1000))&amp;"")</f>
        <v/>
      </c>
      <c r="D173" s="53" t="str">
        <f aca="false">IF($I173="","",INDEX(Customers!$N$12:$N$311,MOD($I173,1000))/100)</f>
        <v/>
      </c>
      <c r="E173" s="54" t="str">
        <f aca="false">IF($I173="","",INDEX(Customers!$C$12:$C$311,MOD($I173,1000))&amp;"")</f>
        <v/>
      </c>
      <c r="F173" s="54"/>
      <c r="I173" s="55" t="str">
        <f aca="false">IF(154&gt;COUNT(Customers!$P$12:$P$311),"",SMALL(Customers!$P$12:$P$311,154))</f>
        <v/>
      </c>
    </row>
    <row r="174" customFormat="false" ht="15" hidden="false" customHeight="false" outlineLevel="0" collapsed="false">
      <c r="A174" s="50" t="str">
        <f aca="false">IF($I174="","",CHOOSE(INT($I174/1000)+1,"Monday","Tuesday","Wednesday","Thursday","Friday","Saturday","Sunday"))</f>
        <v/>
      </c>
      <c r="B174" s="51" t="str">
        <f aca="false">IF($I174="","",WeekMon+INT($I174/1000))</f>
        <v/>
      </c>
      <c r="C174" s="52" t="str">
        <f aca="false">IF($I174="","",INDEX(Customers!$A$12:$A$311,MOD($I174,1000))&amp;"")</f>
        <v/>
      </c>
      <c r="D174" s="53" t="str">
        <f aca="false">IF($I174="","",INDEX(Customers!$N$12:$N$311,MOD($I174,1000))/100)</f>
        <v/>
      </c>
      <c r="E174" s="54" t="str">
        <f aca="false">IF($I174="","",INDEX(Customers!$C$12:$C$311,MOD($I174,1000))&amp;"")</f>
        <v/>
      </c>
      <c r="F174" s="54"/>
      <c r="I174" s="55" t="str">
        <f aca="false">IF(155&gt;COUNT(Customers!$P$12:$P$311),"",SMALL(Customers!$P$12:$P$311,155))</f>
        <v/>
      </c>
    </row>
    <row r="175" customFormat="false" ht="15" hidden="false" customHeight="false" outlineLevel="0" collapsed="false">
      <c r="A175" s="50" t="str">
        <f aca="false">IF($I175="","",CHOOSE(INT($I175/1000)+1,"Monday","Tuesday","Wednesday","Thursday","Friday","Saturday","Sunday"))</f>
        <v/>
      </c>
      <c r="B175" s="51" t="str">
        <f aca="false">IF($I175="","",WeekMon+INT($I175/1000))</f>
        <v/>
      </c>
      <c r="C175" s="52" t="str">
        <f aca="false">IF($I175="","",INDEX(Customers!$A$12:$A$311,MOD($I175,1000))&amp;"")</f>
        <v/>
      </c>
      <c r="D175" s="53" t="str">
        <f aca="false">IF($I175="","",INDEX(Customers!$N$12:$N$311,MOD($I175,1000))/100)</f>
        <v/>
      </c>
      <c r="E175" s="54" t="str">
        <f aca="false">IF($I175="","",INDEX(Customers!$C$12:$C$311,MOD($I175,1000))&amp;"")</f>
        <v/>
      </c>
      <c r="F175" s="54"/>
      <c r="I175" s="55" t="str">
        <f aca="false">IF(156&gt;COUNT(Customers!$P$12:$P$311),"",SMALL(Customers!$P$12:$P$311,156))</f>
        <v/>
      </c>
    </row>
    <row r="176" customFormat="false" ht="15" hidden="false" customHeight="false" outlineLevel="0" collapsed="false">
      <c r="A176" s="50" t="str">
        <f aca="false">IF($I176="","",CHOOSE(INT($I176/1000)+1,"Monday","Tuesday","Wednesday","Thursday","Friday","Saturday","Sunday"))</f>
        <v/>
      </c>
      <c r="B176" s="51" t="str">
        <f aca="false">IF($I176="","",WeekMon+INT($I176/1000))</f>
        <v/>
      </c>
      <c r="C176" s="52" t="str">
        <f aca="false">IF($I176="","",INDEX(Customers!$A$12:$A$311,MOD($I176,1000))&amp;"")</f>
        <v/>
      </c>
      <c r="D176" s="53" t="str">
        <f aca="false">IF($I176="","",INDEX(Customers!$N$12:$N$311,MOD($I176,1000))/100)</f>
        <v/>
      </c>
      <c r="E176" s="54" t="str">
        <f aca="false">IF($I176="","",INDEX(Customers!$C$12:$C$311,MOD($I176,1000))&amp;"")</f>
        <v/>
      </c>
      <c r="F176" s="54"/>
      <c r="I176" s="55" t="str">
        <f aca="false">IF(157&gt;COUNT(Customers!$P$12:$P$311),"",SMALL(Customers!$P$12:$P$311,157))</f>
        <v/>
      </c>
    </row>
    <row r="177" customFormat="false" ht="15" hidden="false" customHeight="false" outlineLevel="0" collapsed="false">
      <c r="A177" s="50" t="str">
        <f aca="false">IF($I177="","",CHOOSE(INT($I177/1000)+1,"Monday","Tuesday","Wednesday","Thursday","Friday","Saturday","Sunday"))</f>
        <v/>
      </c>
      <c r="B177" s="51" t="str">
        <f aca="false">IF($I177="","",WeekMon+INT($I177/1000))</f>
        <v/>
      </c>
      <c r="C177" s="52" t="str">
        <f aca="false">IF($I177="","",INDEX(Customers!$A$12:$A$311,MOD($I177,1000))&amp;"")</f>
        <v/>
      </c>
      <c r="D177" s="53" t="str">
        <f aca="false">IF($I177="","",INDEX(Customers!$N$12:$N$311,MOD($I177,1000))/100)</f>
        <v/>
      </c>
      <c r="E177" s="54" t="str">
        <f aca="false">IF($I177="","",INDEX(Customers!$C$12:$C$311,MOD($I177,1000))&amp;"")</f>
        <v/>
      </c>
      <c r="F177" s="54"/>
      <c r="I177" s="55" t="str">
        <f aca="false">IF(158&gt;COUNT(Customers!$P$12:$P$311),"",SMALL(Customers!$P$12:$P$311,158))</f>
        <v/>
      </c>
    </row>
    <row r="178" customFormat="false" ht="15" hidden="false" customHeight="false" outlineLevel="0" collapsed="false">
      <c r="A178" s="50" t="str">
        <f aca="false">IF($I178="","",CHOOSE(INT($I178/1000)+1,"Monday","Tuesday","Wednesday","Thursday","Friday","Saturday","Sunday"))</f>
        <v/>
      </c>
      <c r="B178" s="51" t="str">
        <f aca="false">IF($I178="","",WeekMon+INT($I178/1000))</f>
        <v/>
      </c>
      <c r="C178" s="52" t="str">
        <f aca="false">IF($I178="","",INDEX(Customers!$A$12:$A$311,MOD($I178,1000))&amp;"")</f>
        <v/>
      </c>
      <c r="D178" s="53" t="str">
        <f aca="false">IF($I178="","",INDEX(Customers!$N$12:$N$311,MOD($I178,1000))/100)</f>
        <v/>
      </c>
      <c r="E178" s="54" t="str">
        <f aca="false">IF($I178="","",INDEX(Customers!$C$12:$C$311,MOD($I178,1000))&amp;"")</f>
        <v/>
      </c>
      <c r="F178" s="54"/>
      <c r="I178" s="55" t="str">
        <f aca="false">IF(159&gt;COUNT(Customers!$P$12:$P$311),"",SMALL(Customers!$P$12:$P$311,159))</f>
        <v/>
      </c>
    </row>
    <row r="179" customFormat="false" ht="15" hidden="false" customHeight="false" outlineLevel="0" collapsed="false">
      <c r="A179" s="50" t="str">
        <f aca="false">IF($I179="","",CHOOSE(INT($I179/1000)+1,"Monday","Tuesday","Wednesday","Thursday","Friday","Saturday","Sunday"))</f>
        <v/>
      </c>
      <c r="B179" s="51" t="str">
        <f aca="false">IF($I179="","",WeekMon+INT($I179/1000))</f>
        <v/>
      </c>
      <c r="C179" s="52" t="str">
        <f aca="false">IF($I179="","",INDEX(Customers!$A$12:$A$311,MOD($I179,1000))&amp;"")</f>
        <v/>
      </c>
      <c r="D179" s="53" t="str">
        <f aca="false">IF($I179="","",INDEX(Customers!$N$12:$N$311,MOD($I179,1000))/100)</f>
        <v/>
      </c>
      <c r="E179" s="54" t="str">
        <f aca="false">IF($I179="","",INDEX(Customers!$C$12:$C$311,MOD($I179,1000))&amp;"")</f>
        <v/>
      </c>
      <c r="F179" s="54"/>
      <c r="I179" s="55" t="str">
        <f aca="false">IF(160&gt;COUNT(Customers!$P$12:$P$311),"",SMALL(Customers!$P$12:$P$311,160))</f>
        <v/>
      </c>
    </row>
    <row r="180" customFormat="false" ht="15" hidden="false" customHeight="false" outlineLevel="0" collapsed="false">
      <c r="A180" s="50" t="str">
        <f aca="false">IF($I180="","",CHOOSE(INT($I180/1000)+1,"Monday","Tuesday","Wednesday","Thursday","Friday","Saturday","Sunday"))</f>
        <v/>
      </c>
      <c r="B180" s="51" t="str">
        <f aca="false">IF($I180="","",WeekMon+INT($I180/1000))</f>
        <v/>
      </c>
      <c r="C180" s="52" t="str">
        <f aca="false">IF($I180="","",INDEX(Customers!$A$12:$A$311,MOD($I180,1000))&amp;"")</f>
        <v/>
      </c>
      <c r="D180" s="53" t="str">
        <f aca="false">IF($I180="","",INDEX(Customers!$N$12:$N$311,MOD($I180,1000))/100)</f>
        <v/>
      </c>
      <c r="E180" s="54" t="str">
        <f aca="false">IF($I180="","",INDEX(Customers!$C$12:$C$311,MOD($I180,1000))&amp;"")</f>
        <v/>
      </c>
      <c r="F180" s="54"/>
      <c r="I180" s="55" t="str">
        <f aca="false">IF(161&gt;COUNT(Customers!$P$12:$P$311),"",SMALL(Customers!$P$12:$P$311,161))</f>
        <v/>
      </c>
    </row>
    <row r="181" customFormat="false" ht="15" hidden="false" customHeight="false" outlineLevel="0" collapsed="false">
      <c r="A181" s="50" t="str">
        <f aca="false">IF($I181="","",CHOOSE(INT($I181/1000)+1,"Monday","Tuesday","Wednesday","Thursday","Friday","Saturday","Sunday"))</f>
        <v/>
      </c>
      <c r="B181" s="51" t="str">
        <f aca="false">IF($I181="","",WeekMon+INT($I181/1000))</f>
        <v/>
      </c>
      <c r="C181" s="52" t="str">
        <f aca="false">IF($I181="","",INDEX(Customers!$A$12:$A$311,MOD($I181,1000))&amp;"")</f>
        <v/>
      </c>
      <c r="D181" s="53" t="str">
        <f aca="false">IF($I181="","",INDEX(Customers!$N$12:$N$311,MOD($I181,1000))/100)</f>
        <v/>
      </c>
      <c r="E181" s="54" t="str">
        <f aca="false">IF($I181="","",INDEX(Customers!$C$12:$C$311,MOD($I181,1000))&amp;"")</f>
        <v/>
      </c>
      <c r="F181" s="54"/>
      <c r="I181" s="55" t="str">
        <f aca="false">IF(162&gt;COUNT(Customers!$P$12:$P$311),"",SMALL(Customers!$P$12:$P$311,162))</f>
        <v/>
      </c>
    </row>
    <row r="182" customFormat="false" ht="15" hidden="false" customHeight="false" outlineLevel="0" collapsed="false">
      <c r="A182" s="50" t="str">
        <f aca="false">IF($I182="","",CHOOSE(INT($I182/1000)+1,"Monday","Tuesday","Wednesday","Thursday","Friday","Saturday","Sunday"))</f>
        <v/>
      </c>
      <c r="B182" s="51" t="str">
        <f aca="false">IF($I182="","",WeekMon+INT($I182/1000))</f>
        <v/>
      </c>
      <c r="C182" s="52" t="str">
        <f aca="false">IF($I182="","",INDEX(Customers!$A$12:$A$311,MOD($I182,1000))&amp;"")</f>
        <v/>
      </c>
      <c r="D182" s="53" t="str">
        <f aca="false">IF($I182="","",INDEX(Customers!$N$12:$N$311,MOD($I182,1000))/100)</f>
        <v/>
      </c>
      <c r="E182" s="54" t="str">
        <f aca="false">IF($I182="","",INDEX(Customers!$C$12:$C$311,MOD($I182,1000))&amp;"")</f>
        <v/>
      </c>
      <c r="F182" s="54"/>
      <c r="I182" s="55" t="str">
        <f aca="false">IF(163&gt;COUNT(Customers!$P$12:$P$311),"",SMALL(Customers!$P$12:$P$311,163))</f>
        <v/>
      </c>
    </row>
    <row r="183" customFormat="false" ht="15" hidden="false" customHeight="false" outlineLevel="0" collapsed="false">
      <c r="A183" s="50" t="str">
        <f aca="false">IF($I183="","",CHOOSE(INT($I183/1000)+1,"Monday","Tuesday","Wednesday","Thursday","Friday","Saturday","Sunday"))</f>
        <v/>
      </c>
      <c r="B183" s="51" t="str">
        <f aca="false">IF($I183="","",WeekMon+INT($I183/1000))</f>
        <v/>
      </c>
      <c r="C183" s="52" t="str">
        <f aca="false">IF($I183="","",INDEX(Customers!$A$12:$A$311,MOD($I183,1000))&amp;"")</f>
        <v/>
      </c>
      <c r="D183" s="53" t="str">
        <f aca="false">IF($I183="","",INDEX(Customers!$N$12:$N$311,MOD($I183,1000))/100)</f>
        <v/>
      </c>
      <c r="E183" s="54" t="str">
        <f aca="false">IF($I183="","",INDEX(Customers!$C$12:$C$311,MOD($I183,1000))&amp;"")</f>
        <v/>
      </c>
      <c r="F183" s="54"/>
      <c r="I183" s="55" t="str">
        <f aca="false">IF(164&gt;COUNT(Customers!$P$12:$P$311),"",SMALL(Customers!$P$12:$P$311,164))</f>
        <v/>
      </c>
    </row>
    <row r="184" customFormat="false" ht="15" hidden="false" customHeight="false" outlineLevel="0" collapsed="false">
      <c r="A184" s="50" t="str">
        <f aca="false">IF($I184="","",CHOOSE(INT($I184/1000)+1,"Monday","Tuesday","Wednesday","Thursday","Friday","Saturday","Sunday"))</f>
        <v/>
      </c>
      <c r="B184" s="51" t="str">
        <f aca="false">IF($I184="","",WeekMon+INT($I184/1000))</f>
        <v/>
      </c>
      <c r="C184" s="52" t="str">
        <f aca="false">IF($I184="","",INDEX(Customers!$A$12:$A$311,MOD($I184,1000))&amp;"")</f>
        <v/>
      </c>
      <c r="D184" s="53" t="str">
        <f aca="false">IF($I184="","",INDEX(Customers!$N$12:$N$311,MOD($I184,1000))/100)</f>
        <v/>
      </c>
      <c r="E184" s="54" t="str">
        <f aca="false">IF($I184="","",INDEX(Customers!$C$12:$C$311,MOD($I184,1000))&amp;"")</f>
        <v/>
      </c>
      <c r="F184" s="54"/>
      <c r="I184" s="55" t="str">
        <f aca="false">IF(165&gt;COUNT(Customers!$P$12:$P$311),"",SMALL(Customers!$P$12:$P$311,165))</f>
        <v/>
      </c>
    </row>
    <row r="185" customFormat="false" ht="15" hidden="false" customHeight="false" outlineLevel="0" collapsed="false">
      <c r="A185" s="50" t="str">
        <f aca="false">IF($I185="","",CHOOSE(INT($I185/1000)+1,"Monday","Tuesday","Wednesday","Thursday","Friday","Saturday","Sunday"))</f>
        <v/>
      </c>
      <c r="B185" s="51" t="str">
        <f aca="false">IF($I185="","",WeekMon+INT($I185/1000))</f>
        <v/>
      </c>
      <c r="C185" s="52" t="str">
        <f aca="false">IF($I185="","",INDEX(Customers!$A$12:$A$311,MOD($I185,1000))&amp;"")</f>
        <v/>
      </c>
      <c r="D185" s="53" t="str">
        <f aca="false">IF($I185="","",INDEX(Customers!$N$12:$N$311,MOD($I185,1000))/100)</f>
        <v/>
      </c>
      <c r="E185" s="54" t="str">
        <f aca="false">IF($I185="","",INDEX(Customers!$C$12:$C$311,MOD($I185,1000))&amp;"")</f>
        <v/>
      </c>
      <c r="F185" s="54"/>
      <c r="I185" s="55" t="str">
        <f aca="false">IF(166&gt;COUNT(Customers!$P$12:$P$311),"",SMALL(Customers!$P$12:$P$311,166))</f>
        <v/>
      </c>
    </row>
    <row r="186" customFormat="false" ht="15" hidden="false" customHeight="false" outlineLevel="0" collapsed="false">
      <c r="A186" s="50" t="str">
        <f aca="false">IF($I186="","",CHOOSE(INT($I186/1000)+1,"Monday","Tuesday","Wednesday","Thursday","Friday","Saturday","Sunday"))</f>
        <v/>
      </c>
      <c r="B186" s="51" t="str">
        <f aca="false">IF($I186="","",WeekMon+INT($I186/1000))</f>
        <v/>
      </c>
      <c r="C186" s="52" t="str">
        <f aca="false">IF($I186="","",INDEX(Customers!$A$12:$A$311,MOD($I186,1000))&amp;"")</f>
        <v/>
      </c>
      <c r="D186" s="53" t="str">
        <f aca="false">IF($I186="","",INDEX(Customers!$N$12:$N$311,MOD($I186,1000))/100)</f>
        <v/>
      </c>
      <c r="E186" s="54" t="str">
        <f aca="false">IF($I186="","",INDEX(Customers!$C$12:$C$311,MOD($I186,1000))&amp;"")</f>
        <v/>
      </c>
      <c r="F186" s="54"/>
      <c r="I186" s="55" t="str">
        <f aca="false">IF(167&gt;COUNT(Customers!$P$12:$P$311),"",SMALL(Customers!$P$12:$P$311,167))</f>
        <v/>
      </c>
    </row>
    <row r="187" customFormat="false" ht="15" hidden="false" customHeight="false" outlineLevel="0" collapsed="false">
      <c r="A187" s="50" t="str">
        <f aca="false">IF($I187="","",CHOOSE(INT($I187/1000)+1,"Monday","Tuesday","Wednesday","Thursday","Friday","Saturday","Sunday"))</f>
        <v/>
      </c>
      <c r="B187" s="51" t="str">
        <f aca="false">IF($I187="","",WeekMon+INT($I187/1000))</f>
        <v/>
      </c>
      <c r="C187" s="52" t="str">
        <f aca="false">IF($I187="","",INDEX(Customers!$A$12:$A$311,MOD($I187,1000))&amp;"")</f>
        <v/>
      </c>
      <c r="D187" s="53" t="str">
        <f aca="false">IF($I187="","",INDEX(Customers!$N$12:$N$311,MOD($I187,1000))/100)</f>
        <v/>
      </c>
      <c r="E187" s="54" t="str">
        <f aca="false">IF($I187="","",INDEX(Customers!$C$12:$C$311,MOD($I187,1000))&amp;"")</f>
        <v/>
      </c>
      <c r="F187" s="54"/>
      <c r="I187" s="55" t="str">
        <f aca="false">IF(168&gt;COUNT(Customers!$P$12:$P$311),"",SMALL(Customers!$P$12:$P$311,168))</f>
        <v/>
      </c>
    </row>
    <row r="188" customFormat="false" ht="15" hidden="false" customHeight="false" outlineLevel="0" collapsed="false">
      <c r="A188" s="50" t="str">
        <f aca="false">IF($I188="","",CHOOSE(INT($I188/1000)+1,"Monday","Tuesday","Wednesday","Thursday","Friday","Saturday","Sunday"))</f>
        <v/>
      </c>
      <c r="B188" s="51" t="str">
        <f aca="false">IF($I188="","",WeekMon+INT($I188/1000))</f>
        <v/>
      </c>
      <c r="C188" s="52" t="str">
        <f aca="false">IF($I188="","",INDEX(Customers!$A$12:$A$311,MOD($I188,1000))&amp;"")</f>
        <v/>
      </c>
      <c r="D188" s="53" t="str">
        <f aca="false">IF($I188="","",INDEX(Customers!$N$12:$N$311,MOD($I188,1000))/100)</f>
        <v/>
      </c>
      <c r="E188" s="54" t="str">
        <f aca="false">IF($I188="","",INDEX(Customers!$C$12:$C$311,MOD($I188,1000))&amp;"")</f>
        <v/>
      </c>
      <c r="F188" s="54"/>
      <c r="I188" s="55" t="str">
        <f aca="false">IF(169&gt;COUNT(Customers!$P$12:$P$311),"",SMALL(Customers!$P$12:$P$311,169))</f>
        <v/>
      </c>
    </row>
    <row r="189" customFormat="false" ht="15" hidden="false" customHeight="false" outlineLevel="0" collapsed="false">
      <c r="A189" s="50" t="str">
        <f aca="false">IF($I189="","",CHOOSE(INT($I189/1000)+1,"Monday","Tuesday","Wednesday","Thursday","Friday","Saturday","Sunday"))</f>
        <v/>
      </c>
      <c r="B189" s="51" t="str">
        <f aca="false">IF($I189="","",WeekMon+INT($I189/1000))</f>
        <v/>
      </c>
      <c r="C189" s="52" t="str">
        <f aca="false">IF($I189="","",INDEX(Customers!$A$12:$A$311,MOD($I189,1000))&amp;"")</f>
        <v/>
      </c>
      <c r="D189" s="53" t="str">
        <f aca="false">IF($I189="","",INDEX(Customers!$N$12:$N$311,MOD($I189,1000))/100)</f>
        <v/>
      </c>
      <c r="E189" s="54" t="str">
        <f aca="false">IF($I189="","",INDEX(Customers!$C$12:$C$311,MOD($I189,1000))&amp;"")</f>
        <v/>
      </c>
      <c r="F189" s="54"/>
      <c r="I189" s="55" t="str">
        <f aca="false">IF(170&gt;COUNT(Customers!$P$12:$P$311),"",SMALL(Customers!$P$12:$P$311,170))</f>
        <v/>
      </c>
    </row>
    <row r="190" customFormat="false" ht="15" hidden="false" customHeight="false" outlineLevel="0" collapsed="false">
      <c r="A190" s="50" t="str">
        <f aca="false">IF($I190="","",CHOOSE(INT($I190/1000)+1,"Monday","Tuesday","Wednesday","Thursday","Friday","Saturday","Sunday"))</f>
        <v/>
      </c>
      <c r="B190" s="51" t="str">
        <f aca="false">IF($I190="","",WeekMon+INT($I190/1000))</f>
        <v/>
      </c>
      <c r="C190" s="52" t="str">
        <f aca="false">IF($I190="","",INDEX(Customers!$A$12:$A$311,MOD($I190,1000))&amp;"")</f>
        <v/>
      </c>
      <c r="D190" s="53" t="str">
        <f aca="false">IF($I190="","",INDEX(Customers!$N$12:$N$311,MOD($I190,1000))/100)</f>
        <v/>
      </c>
      <c r="E190" s="54" t="str">
        <f aca="false">IF($I190="","",INDEX(Customers!$C$12:$C$311,MOD($I190,1000))&amp;"")</f>
        <v/>
      </c>
      <c r="F190" s="54"/>
      <c r="I190" s="55" t="str">
        <f aca="false">IF(171&gt;COUNT(Customers!$P$12:$P$311),"",SMALL(Customers!$P$12:$P$311,171))</f>
        <v/>
      </c>
    </row>
    <row r="191" customFormat="false" ht="15" hidden="false" customHeight="false" outlineLevel="0" collapsed="false">
      <c r="A191" s="50" t="str">
        <f aca="false">IF($I191="","",CHOOSE(INT($I191/1000)+1,"Monday","Tuesday","Wednesday","Thursday","Friday","Saturday","Sunday"))</f>
        <v/>
      </c>
      <c r="B191" s="51" t="str">
        <f aca="false">IF($I191="","",WeekMon+INT($I191/1000))</f>
        <v/>
      </c>
      <c r="C191" s="52" t="str">
        <f aca="false">IF($I191="","",INDEX(Customers!$A$12:$A$311,MOD($I191,1000))&amp;"")</f>
        <v/>
      </c>
      <c r="D191" s="53" t="str">
        <f aca="false">IF($I191="","",INDEX(Customers!$N$12:$N$311,MOD($I191,1000))/100)</f>
        <v/>
      </c>
      <c r="E191" s="54" t="str">
        <f aca="false">IF($I191="","",INDEX(Customers!$C$12:$C$311,MOD($I191,1000))&amp;"")</f>
        <v/>
      </c>
      <c r="F191" s="54"/>
      <c r="I191" s="55" t="str">
        <f aca="false">IF(172&gt;COUNT(Customers!$P$12:$P$311),"",SMALL(Customers!$P$12:$P$311,172))</f>
        <v/>
      </c>
    </row>
    <row r="192" customFormat="false" ht="15" hidden="false" customHeight="false" outlineLevel="0" collapsed="false">
      <c r="A192" s="50" t="str">
        <f aca="false">IF($I192="","",CHOOSE(INT($I192/1000)+1,"Monday","Tuesday","Wednesday","Thursday","Friday","Saturday","Sunday"))</f>
        <v/>
      </c>
      <c r="B192" s="51" t="str">
        <f aca="false">IF($I192="","",WeekMon+INT($I192/1000))</f>
        <v/>
      </c>
      <c r="C192" s="52" t="str">
        <f aca="false">IF($I192="","",INDEX(Customers!$A$12:$A$311,MOD($I192,1000))&amp;"")</f>
        <v/>
      </c>
      <c r="D192" s="53" t="str">
        <f aca="false">IF($I192="","",INDEX(Customers!$N$12:$N$311,MOD($I192,1000))/100)</f>
        <v/>
      </c>
      <c r="E192" s="54" t="str">
        <f aca="false">IF($I192="","",INDEX(Customers!$C$12:$C$311,MOD($I192,1000))&amp;"")</f>
        <v/>
      </c>
      <c r="F192" s="54"/>
      <c r="I192" s="55" t="str">
        <f aca="false">IF(173&gt;COUNT(Customers!$P$12:$P$311),"",SMALL(Customers!$P$12:$P$311,173))</f>
        <v/>
      </c>
    </row>
    <row r="193" customFormat="false" ht="15" hidden="false" customHeight="false" outlineLevel="0" collapsed="false">
      <c r="A193" s="50" t="str">
        <f aca="false">IF($I193="","",CHOOSE(INT($I193/1000)+1,"Monday","Tuesday","Wednesday","Thursday","Friday","Saturday","Sunday"))</f>
        <v/>
      </c>
      <c r="B193" s="51" t="str">
        <f aca="false">IF($I193="","",WeekMon+INT($I193/1000))</f>
        <v/>
      </c>
      <c r="C193" s="52" t="str">
        <f aca="false">IF($I193="","",INDEX(Customers!$A$12:$A$311,MOD($I193,1000))&amp;"")</f>
        <v/>
      </c>
      <c r="D193" s="53" t="str">
        <f aca="false">IF($I193="","",INDEX(Customers!$N$12:$N$311,MOD($I193,1000))/100)</f>
        <v/>
      </c>
      <c r="E193" s="54" t="str">
        <f aca="false">IF($I193="","",INDEX(Customers!$C$12:$C$311,MOD($I193,1000))&amp;"")</f>
        <v/>
      </c>
      <c r="F193" s="54"/>
      <c r="I193" s="55" t="str">
        <f aca="false">IF(174&gt;COUNT(Customers!$P$12:$P$311),"",SMALL(Customers!$P$12:$P$311,174))</f>
        <v/>
      </c>
    </row>
    <row r="194" customFormat="false" ht="15" hidden="false" customHeight="false" outlineLevel="0" collapsed="false">
      <c r="A194" s="50" t="str">
        <f aca="false">IF($I194="","",CHOOSE(INT($I194/1000)+1,"Monday","Tuesday","Wednesday","Thursday","Friday","Saturday","Sunday"))</f>
        <v/>
      </c>
      <c r="B194" s="51" t="str">
        <f aca="false">IF($I194="","",WeekMon+INT($I194/1000))</f>
        <v/>
      </c>
      <c r="C194" s="52" t="str">
        <f aca="false">IF($I194="","",INDEX(Customers!$A$12:$A$311,MOD($I194,1000))&amp;"")</f>
        <v/>
      </c>
      <c r="D194" s="53" t="str">
        <f aca="false">IF($I194="","",INDEX(Customers!$N$12:$N$311,MOD($I194,1000))/100)</f>
        <v/>
      </c>
      <c r="E194" s="54" t="str">
        <f aca="false">IF($I194="","",INDEX(Customers!$C$12:$C$311,MOD($I194,1000))&amp;"")</f>
        <v/>
      </c>
      <c r="F194" s="54"/>
      <c r="I194" s="55" t="str">
        <f aca="false">IF(175&gt;COUNT(Customers!$P$12:$P$311),"",SMALL(Customers!$P$12:$P$311,175))</f>
        <v/>
      </c>
    </row>
    <row r="195" customFormat="false" ht="15" hidden="false" customHeight="false" outlineLevel="0" collapsed="false">
      <c r="A195" s="50" t="str">
        <f aca="false">IF($I195="","",CHOOSE(INT($I195/1000)+1,"Monday","Tuesday","Wednesday","Thursday","Friday","Saturday","Sunday"))</f>
        <v/>
      </c>
      <c r="B195" s="51" t="str">
        <f aca="false">IF($I195="","",WeekMon+INT($I195/1000))</f>
        <v/>
      </c>
      <c r="C195" s="52" t="str">
        <f aca="false">IF($I195="","",INDEX(Customers!$A$12:$A$311,MOD($I195,1000))&amp;"")</f>
        <v/>
      </c>
      <c r="D195" s="53" t="str">
        <f aca="false">IF($I195="","",INDEX(Customers!$N$12:$N$311,MOD($I195,1000))/100)</f>
        <v/>
      </c>
      <c r="E195" s="54" t="str">
        <f aca="false">IF($I195="","",INDEX(Customers!$C$12:$C$311,MOD($I195,1000))&amp;"")</f>
        <v/>
      </c>
      <c r="F195" s="54"/>
      <c r="I195" s="55" t="str">
        <f aca="false">IF(176&gt;COUNT(Customers!$P$12:$P$311),"",SMALL(Customers!$P$12:$P$311,176))</f>
        <v/>
      </c>
    </row>
    <row r="196" customFormat="false" ht="15" hidden="false" customHeight="false" outlineLevel="0" collapsed="false">
      <c r="A196" s="50" t="str">
        <f aca="false">IF($I196="","",CHOOSE(INT($I196/1000)+1,"Monday","Tuesday","Wednesday","Thursday","Friday","Saturday","Sunday"))</f>
        <v/>
      </c>
      <c r="B196" s="51" t="str">
        <f aca="false">IF($I196="","",WeekMon+INT($I196/1000))</f>
        <v/>
      </c>
      <c r="C196" s="52" t="str">
        <f aca="false">IF($I196="","",INDEX(Customers!$A$12:$A$311,MOD($I196,1000))&amp;"")</f>
        <v/>
      </c>
      <c r="D196" s="53" t="str">
        <f aca="false">IF($I196="","",INDEX(Customers!$N$12:$N$311,MOD($I196,1000))/100)</f>
        <v/>
      </c>
      <c r="E196" s="54" t="str">
        <f aca="false">IF($I196="","",INDEX(Customers!$C$12:$C$311,MOD($I196,1000))&amp;"")</f>
        <v/>
      </c>
      <c r="F196" s="54"/>
      <c r="I196" s="55" t="str">
        <f aca="false">IF(177&gt;COUNT(Customers!$P$12:$P$311),"",SMALL(Customers!$P$12:$P$311,177))</f>
        <v/>
      </c>
    </row>
    <row r="197" customFormat="false" ht="15" hidden="false" customHeight="false" outlineLevel="0" collapsed="false">
      <c r="A197" s="50" t="str">
        <f aca="false">IF($I197="","",CHOOSE(INT($I197/1000)+1,"Monday","Tuesday","Wednesday","Thursday","Friday","Saturday","Sunday"))</f>
        <v/>
      </c>
      <c r="B197" s="51" t="str">
        <f aca="false">IF($I197="","",WeekMon+INT($I197/1000))</f>
        <v/>
      </c>
      <c r="C197" s="52" t="str">
        <f aca="false">IF($I197="","",INDEX(Customers!$A$12:$A$311,MOD($I197,1000))&amp;"")</f>
        <v/>
      </c>
      <c r="D197" s="53" t="str">
        <f aca="false">IF($I197="","",INDEX(Customers!$N$12:$N$311,MOD($I197,1000))/100)</f>
        <v/>
      </c>
      <c r="E197" s="54" t="str">
        <f aca="false">IF($I197="","",INDEX(Customers!$C$12:$C$311,MOD($I197,1000))&amp;"")</f>
        <v/>
      </c>
      <c r="F197" s="54"/>
      <c r="I197" s="55" t="str">
        <f aca="false">IF(178&gt;COUNT(Customers!$P$12:$P$311),"",SMALL(Customers!$P$12:$P$311,178))</f>
        <v/>
      </c>
    </row>
    <row r="198" customFormat="false" ht="15" hidden="false" customHeight="false" outlineLevel="0" collapsed="false">
      <c r="A198" s="50" t="str">
        <f aca="false">IF($I198="","",CHOOSE(INT($I198/1000)+1,"Monday","Tuesday","Wednesday","Thursday","Friday","Saturday","Sunday"))</f>
        <v/>
      </c>
      <c r="B198" s="51" t="str">
        <f aca="false">IF($I198="","",WeekMon+INT($I198/1000))</f>
        <v/>
      </c>
      <c r="C198" s="52" t="str">
        <f aca="false">IF($I198="","",INDEX(Customers!$A$12:$A$311,MOD($I198,1000))&amp;"")</f>
        <v/>
      </c>
      <c r="D198" s="53" t="str">
        <f aca="false">IF($I198="","",INDEX(Customers!$N$12:$N$311,MOD($I198,1000))/100)</f>
        <v/>
      </c>
      <c r="E198" s="54" t="str">
        <f aca="false">IF($I198="","",INDEX(Customers!$C$12:$C$311,MOD($I198,1000))&amp;"")</f>
        <v/>
      </c>
      <c r="F198" s="54"/>
      <c r="I198" s="55" t="str">
        <f aca="false">IF(179&gt;COUNT(Customers!$P$12:$P$311),"",SMALL(Customers!$P$12:$P$311,179))</f>
        <v/>
      </c>
    </row>
    <row r="199" customFormat="false" ht="15" hidden="false" customHeight="false" outlineLevel="0" collapsed="false">
      <c r="A199" s="50" t="str">
        <f aca="false">IF($I199="","",CHOOSE(INT($I199/1000)+1,"Monday","Tuesday","Wednesday","Thursday","Friday","Saturday","Sunday"))</f>
        <v/>
      </c>
      <c r="B199" s="51" t="str">
        <f aca="false">IF($I199="","",WeekMon+INT($I199/1000))</f>
        <v/>
      </c>
      <c r="C199" s="52" t="str">
        <f aca="false">IF($I199="","",INDEX(Customers!$A$12:$A$311,MOD($I199,1000))&amp;"")</f>
        <v/>
      </c>
      <c r="D199" s="53" t="str">
        <f aca="false">IF($I199="","",INDEX(Customers!$N$12:$N$311,MOD($I199,1000))/100)</f>
        <v/>
      </c>
      <c r="E199" s="54" t="str">
        <f aca="false">IF($I199="","",INDEX(Customers!$C$12:$C$311,MOD($I199,1000))&amp;"")</f>
        <v/>
      </c>
      <c r="F199" s="54"/>
      <c r="I199" s="55" t="str">
        <f aca="false">IF(180&gt;COUNT(Customers!$P$12:$P$311),"",SMALL(Customers!$P$12:$P$311,180))</f>
        <v/>
      </c>
    </row>
    <row r="200" customFormat="false" ht="15" hidden="false" customHeight="false" outlineLevel="0" collapsed="false">
      <c r="A200" s="50" t="str">
        <f aca="false">IF($I200="","",CHOOSE(INT($I200/1000)+1,"Monday","Tuesday","Wednesday","Thursday","Friday","Saturday","Sunday"))</f>
        <v/>
      </c>
      <c r="B200" s="51" t="str">
        <f aca="false">IF($I200="","",WeekMon+INT($I200/1000))</f>
        <v/>
      </c>
      <c r="C200" s="52" t="str">
        <f aca="false">IF($I200="","",INDEX(Customers!$A$12:$A$311,MOD($I200,1000))&amp;"")</f>
        <v/>
      </c>
      <c r="D200" s="53" t="str">
        <f aca="false">IF($I200="","",INDEX(Customers!$N$12:$N$311,MOD($I200,1000))/100)</f>
        <v/>
      </c>
      <c r="E200" s="54" t="str">
        <f aca="false">IF($I200="","",INDEX(Customers!$C$12:$C$311,MOD($I200,1000))&amp;"")</f>
        <v/>
      </c>
      <c r="F200" s="54"/>
      <c r="I200" s="55" t="str">
        <f aca="false">IF(181&gt;COUNT(Customers!$P$12:$P$311),"",SMALL(Customers!$P$12:$P$311,181))</f>
        <v/>
      </c>
    </row>
    <row r="201" customFormat="false" ht="15" hidden="false" customHeight="false" outlineLevel="0" collapsed="false">
      <c r="A201" s="50" t="str">
        <f aca="false">IF($I201="","",CHOOSE(INT($I201/1000)+1,"Monday","Tuesday","Wednesday","Thursday","Friday","Saturday","Sunday"))</f>
        <v/>
      </c>
      <c r="B201" s="51" t="str">
        <f aca="false">IF($I201="","",WeekMon+INT($I201/1000))</f>
        <v/>
      </c>
      <c r="C201" s="52" t="str">
        <f aca="false">IF($I201="","",INDEX(Customers!$A$12:$A$311,MOD($I201,1000))&amp;"")</f>
        <v/>
      </c>
      <c r="D201" s="53" t="str">
        <f aca="false">IF($I201="","",INDEX(Customers!$N$12:$N$311,MOD($I201,1000))/100)</f>
        <v/>
      </c>
      <c r="E201" s="54" t="str">
        <f aca="false">IF($I201="","",INDEX(Customers!$C$12:$C$311,MOD($I201,1000))&amp;"")</f>
        <v/>
      </c>
      <c r="F201" s="54"/>
      <c r="I201" s="55" t="str">
        <f aca="false">IF(182&gt;COUNT(Customers!$P$12:$P$311),"",SMALL(Customers!$P$12:$P$311,182))</f>
        <v/>
      </c>
    </row>
    <row r="202" customFormat="false" ht="15" hidden="false" customHeight="false" outlineLevel="0" collapsed="false">
      <c r="A202" s="50" t="str">
        <f aca="false">IF($I202="","",CHOOSE(INT($I202/1000)+1,"Monday","Tuesday","Wednesday","Thursday","Friday","Saturday","Sunday"))</f>
        <v/>
      </c>
      <c r="B202" s="51" t="str">
        <f aca="false">IF($I202="","",WeekMon+INT($I202/1000))</f>
        <v/>
      </c>
      <c r="C202" s="52" t="str">
        <f aca="false">IF($I202="","",INDEX(Customers!$A$12:$A$311,MOD($I202,1000))&amp;"")</f>
        <v/>
      </c>
      <c r="D202" s="53" t="str">
        <f aca="false">IF($I202="","",INDEX(Customers!$N$12:$N$311,MOD($I202,1000))/100)</f>
        <v/>
      </c>
      <c r="E202" s="54" t="str">
        <f aca="false">IF($I202="","",INDEX(Customers!$C$12:$C$311,MOD($I202,1000))&amp;"")</f>
        <v/>
      </c>
      <c r="F202" s="54"/>
      <c r="I202" s="55" t="str">
        <f aca="false">IF(183&gt;COUNT(Customers!$P$12:$P$311),"",SMALL(Customers!$P$12:$P$311,183))</f>
        <v/>
      </c>
    </row>
    <row r="203" customFormat="false" ht="15" hidden="false" customHeight="false" outlineLevel="0" collapsed="false">
      <c r="A203" s="50" t="str">
        <f aca="false">IF($I203="","",CHOOSE(INT($I203/1000)+1,"Monday","Tuesday","Wednesday","Thursday","Friday","Saturday","Sunday"))</f>
        <v/>
      </c>
      <c r="B203" s="51" t="str">
        <f aca="false">IF($I203="","",WeekMon+INT($I203/1000))</f>
        <v/>
      </c>
      <c r="C203" s="52" t="str">
        <f aca="false">IF($I203="","",INDEX(Customers!$A$12:$A$311,MOD($I203,1000))&amp;"")</f>
        <v/>
      </c>
      <c r="D203" s="53" t="str">
        <f aca="false">IF($I203="","",INDEX(Customers!$N$12:$N$311,MOD($I203,1000))/100)</f>
        <v/>
      </c>
      <c r="E203" s="54" t="str">
        <f aca="false">IF($I203="","",INDEX(Customers!$C$12:$C$311,MOD($I203,1000))&amp;"")</f>
        <v/>
      </c>
      <c r="F203" s="54"/>
      <c r="I203" s="55" t="str">
        <f aca="false">IF(184&gt;COUNT(Customers!$P$12:$P$311),"",SMALL(Customers!$P$12:$P$311,184))</f>
        <v/>
      </c>
    </row>
    <row r="204" customFormat="false" ht="15" hidden="false" customHeight="false" outlineLevel="0" collapsed="false">
      <c r="A204" s="50" t="str">
        <f aca="false">IF($I204="","",CHOOSE(INT($I204/1000)+1,"Monday","Tuesday","Wednesday","Thursday","Friday","Saturday","Sunday"))</f>
        <v/>
      </c>
      <c r="B204" s="51" t="str">
        <f aca="false">IF($I204="","",WeekMon+INT($I204/1000))</f>
        <v/>
      </c>
      <c r="C204" s="52" t="str">
        <f aca="false">IF($I204="","",INDEX(Customers!$A$12:$A$311,MOD($I204,1000))&amp;"")</f>
        <v/>
      </c>
      <c r="D204" s="53" t="str">
        <f aca="false">IF($I204="","",INDEX(Customers!$N$12:$N$311,MOD($I204,1000))/100)</f>
        <v/>
      </c>
      <c r="E204" s="54" t="str">
        <f aca="false">IF($I204="","",INDEX(Customers!$C$12:$C$311,MOD($I204,1000))&amp;"")</f>
        <v/>
      </c>
      <c r="F204" s="54"/>
      <c r="I204" s="55" t="str">
        <f aca="false">IF(185&gt;COUNT(Customers!$P$12:$P$311),"",SMALL(Customers!$P$12:$P$311,185))</f>
        <v/>
      </c>
    </row>
    <row r="205" customFormat="false" ht="15" hidden="false" customHeight="false" outlineLevel="0" collapsed="false">
      <c r="A205" s="50" t="str">
        <f aca="false">IF($I205="","",CHOOSE(INT($I205/1000)+1,"Monday","Tuesday","Wednesday","Thursday","Friday","Saturday","Sunday"))</f>
        <v/>
      </c>
      <c r="B205" s="51" t="str">
        <f aca="false">IF($I205="","",WeekMon+INT($I205/1000))</f>
        <v/>
      </c>
      <c r="C205" s="52" t="str">
        <f aca="false">IF($I205="","",INDEX(Customers!$A$12:$A$311,MOD($I205,1000))&amp;"")</f>
        <v/>
      </c>
      <c r="D205" s="53" t="str">
        <f aca="false">IF($I205="","",INDEX(Customers!$N$12:$N$311,MOD($I205,1000))/100)</f>
        <v/>
      </c>
      <c r="E205" s="54" t="str">
        <f aca="false">IF($I205="","",INDEX(Customers!$C$12:$C$311,MOD($I205,1000))&amp;"")</f>
        <v/>
      </c>
      <c r="F205" s="54"/>
      <c r="I205" s="55" t="str">
        <f aca="false">IF(186&gt;COUNT(Customers!$P$12:$P$311),"",SMALL(Customers!$P$12:$P$311,186))</f>
        <v/>
      </c>
    </row>
    <row r="206" customFormat="false" ht="15" hidden="false" customHeight="false" outlineLevel="0" collapsed="false">
      <c r="A206" s="50" t="str">
        <f aca="false">IF($I206="","",CHOOSE(INT($I206/1000)+1,"Monday","Tuesday","Wednesday","Thursday","Friday","Saturday","Sunday"))</f>
        <v/>
      </c>
      <c r="B206" s="51" t="str">
        <f aca="false">IF($I206="","",WeekMon+INT($I206/1000))</f>
        <v/>
      </c>
      <c r="C206" s="52" t="str">
        <f aca="false">IF($I206="","",INDEX(Customers!$A$12:$A$311,MOD($I206,1000))&amp;"")</f>
        <v/>
      </c>
      <c r="D206" s="53" t="str">
        <f aca="false">IF($I206="","",INDEX(Customers!$N$12:$N$311,MOD($I206,1000))/100)</f>
        <v/>
      </c>
      <c r="E206" s="54" t="str">
        <f aca="false">IF($I206="","",INDEX(Customers!$C$12:$C$311,MOD($I206,1000))&amp;"")</f>
        <v/>
      </c>
      <c r="F206" s="54"/>
      <c r="I206" s="55" t="str">
        <f aca="false">IF(187&gt;COUNT(Customers!$P$12:$P$311),"",SMALL(Customers!$P$12:$P$311,187))</f>
        <v/>
      </c>
    </row>
    <row r="207" customFormat="false" ht="15" hidden="false" customHeight="false" outlineLevel="0" collapsed="false">
      <c r="A207" s="50" t="str">
        <f aca="false">IF($I207="","",CHOOSE(INT($I207/1000)+1,"Monday","Tuesday","Wednesday","Thursday","Friday","Saturday","Sunday"))</f>
        <v/>
      </c>
      <c r="B207" s="51" t="str">
        <f aca="false">IF($I207="","",WeekMon+INT($I207/1000))</f>
        <v/>
      </c>
      <c r="C207" s="52" t="str">
        <f aca="false">IF($I207="","",INDEX(Customers!$A$12:$A$311,MOD($I207,1000))&amp;"")</f>
        <v/>
      </c>
      <c r="D207" s="53" t="str">
        <f aca="false">IF($I207="","",INDEX(Customers!$N$12:$N$311,MOD($I207,1000))/100)</f>
        <v/>
      </c>
      <c r="E207" s="54" t="str">
        <f aca="false">IF($I207="","",INDEX(Customers!$C$12:$C$311,MOD($I207,1000))&amp;"")</f>
        <v/>
      </c>
      <c r="F207" s="54"/>
      <c r="I207" s="55" t="str">
        <f aca="false">IF(188&gt;COUNT(Customers!$P$12:$P$311),"",SMALL(Customers!$P$12:$P$311,188))</f>
        <v/>
      </c>
    </row>
    <row r="208" customFormat="false" ht="15" hidden="false" customHeight="false" outlineLevel="0" collapsed="false">
      <c r="A208" s="50" t="str">
        <f aca="false">IF($I208="","",CHOOSE(INT($I208/1000)+1,"Monday","Tuesday","Wednesday","Thursday","Friday","Saturday","Sunday"))</f>
        <v/>
      </c>
      <c r="B208" s="51" t="str">
        <f aca="false">IF($I208="","",WeekMon+INT($I208/1000))</f>
        <v/>
      </c>
      <c r="C208" s="52" t="str">
        <f aca="false">IF($I208="","",INDEX(Customers!$A$12:$A$311,MOD($I208,1000))&amp;"")</f>
        <v/>
      </c>
      <c r="D208" s="53" t="str">
        <f aca="false">IF($I208="","",INDEX(Customers!$N$12:$N$311,MOD($I208,1000))/100)</f>
        <v/>
      </c>
      <c r="E208" s="54" t="str">
        <f aca="false">IF($I208="","",INDEX(Customers!$C$12:$C$311,MOD($I208,1000))&amp;"")</f>
        <v/>
      </c>
      <c r="F208" s="54"/>
      <c r="I208" s="55" t="str">
        <f aca="false">IF(189&gt;COUNT(Customers!$P$12:$P$311),"",SMALL(Customers!$P$12:$P$311,189))</f>
        <v/>
      </c>
    </row>
    <row r="209" customFormat="false" ht="15" hidden="false" customHeight="false" outlineLevel="0" collapsed="false">
      <c r="A209" s="50" t="str">
        <f aca="false">IF($I209="","",CHOOSE(INT($I209/1000)+1,"Monday","Tuesday","Wednesday","Thursday","Friday","Saturday","Sunday"))</f>
        <v/>
      </c>
      <c r="B209" s="51" t="str">
        <f aca="false">IF($I209="","",WeekMon+INT($I209/1000))</f>
        <v/>
      </c>
      <c r="C209" s="52" t="str">
        <f aca="false">IF($I209="","",INDEX(Customers!$A$12:$A$311,MOD($I209,1000))&amp;"")</f>
        <v/>
      </c>
      <c r="D209" s="53" t="str">
        <f aca="false">IF($I209="","",INDEX(Customers!$N$12:$N$311,MOD($I209,1000))/100)</f>
        <v/>
      </c>
      <c r="E209" s="54" t="str">
        <f aca="false">IF($I209="","",INDEX(Customers!$C$12:$C$311,MOD($I209,1000))&amp;"")</f>
        <v/>
      </c>
      <c r="F209" s="54"/>
      <c r="I209" s="55" t="str">
        <f aca="false">IF(190&gt;COUNT(Customers!$P$12:$P$311),"",SMALL(Customers!$P$12:$P$311,190))</f>
        <v/>
      </c>
    </row>
    <row r="210" customFormat="false" ht="15" hidden="false" customHeight="false" outlineLevel="0" collapsed="false">
      <c r="A210" s="50" t="str">
        <f aca="false">IF($I210="","",CHOOSE(INT($I210/1000)+1,"Monday","Tuesday","Wednesday","Thursday","Friday","Saturday","Sunday"))</f>
        <v/>
      </c>
      <c r="B210" s="51" t="str">
        <f aca="false">IF($I210="","",WeekMon+INT($I210/1000))</f>
        <v/>
      </c>
      <c r="C210" s="52" t="str">
        <f aca="false">IF($I210="","",INDEX(Customers!$A$12:$A$311,MOD($I210,1000))&amp;"")</f>
        <v/>
      </c>
      <c r="D210" s="53" t="str">
        <f aca="false">IF($I210="","",INDEX(Customers!$N$12:$N$311,MOD($I210,1000))/100)</f>
        <v/>
      </c>
      <c r="E210" s="54" t="str">
        <f aca="false">IF($I210="","",INDEX(Customers!$C$12:$C$311,MOD($I210,1000))&amp;"")</f>
        <v/>
      </c>
      <c r="F210" s="54"/>
      <c r="I210" s="55" t="str">
        <f aca="false">IF(191&gt;COUNT(Customers!$P$12:$P$311),"",SMALL(Customers!$P$12:$P$311,191))</f>
        <v/>
      </c>
    </row>
    <row r="211" customFormat="false" ht="15" hidden="false" customHeight="false" outlineLevel="0" collapsed="false">
      <c r="A211" s="50" t="str">
        <f aca="false">IF($I211="","",CHOOSE(INT($I211/1000)+1,"Monday","Tuesday","Wednesday","Thursday","Friday","Saturday","Sunday"))</f>
        <v/>
      </c>
      <c r="B211" s="51" t="str">
        <f aca="false">IF($I211="","",WeekMon+INT($I211/1000))</f>
        <v/>
      </c>
      <c r="C211" s="52" t="str">
        <f aca="false">IF($I211="","",INDEX(Customers!$A$12:$A$311,MOD($I211,1000))&amp;"")</f>
        <v/>
      </c>
      <c r="D211" s="53" t="str">
        <f aca="false">IF($I211="","",INDEX(Customers!$N$12:$N$311,MOD($I211,1000))/100)</f>
        <v/>
      </c>
      <c r="E211" s="54" t="str">
        <f aca="false">IF($I211="","",INDEX(Customers!$C$12:$C$311,MOD($I211,1000))&amp;"")</f>
        <v/>
      </c>
      <c r="F211" s="54"/>
      <c r="I211" s="55" t="str">
        <f aca="false">IF(192&gt;COUNT(Customers!$P$12:$P$311),"",SMALL(Customers!$P$12:$P$311,192))</f>
        <v/>
      </c>
    </row>
    <row r="212" customFormat="false" ht="15" hidden="false" customHeight="false" outlineLevel="0" collapsed="false">
      <c r="A212" s="50" t="str">
        <f aca="false">IF($I212="","",CHOOSE(INT($I212/1000)+1,"Monday","Tuesday","Wednesday","Thursday","Friday","Saturday","Sunday"))</f>
        <v/>
      </c>
      <c r="B212" s="51" t="str">
        <f aca="false">IF($I212="","",WeekMon+INT($I212/1000))</f>
        <v/>
      </c>
      <c r="C212" s="52" t="str">
        <f aca="false">IF($I212="","",INDEX(Customers!$A$12:$A$311,MOD($I212,1000))&amp;"")</f>
        <v/>
      </c>
      <c r="D212" s="53" t="str">
        <f aca="false">IF($I212="","",INDEX(Customers!$N$12:$N$311,MOD($I212,1000))/100)</f>
        <v/>
      </c>
      <c r="E212" s="54" t="str">
        <f aca="false">IF($I212="","",INDEX(Customers!$C$12:$C$311,MOD($I212,1000))&amp;"")</f>
        <v/>
      </c>
      <c r="F212" s="54"/>
      <c r="I212" s="55" t="str">
        <f aca="false">IF(193&gt;COUNT(Customers!$P$12:$P$311),"",SMALL(Customers!$P$12:$P$311,193))</f>
        <v/>
      </c>
    </row>
    <row r="213" customFormat="false" ht="15" hidden="false" customHeight="false" outlineLevel="0" collapsed="false">
      <c r="A213" s="50" t="str">
        <f aca="false">IF($I213="","",CHOOSE(INT($I213/1000)+1,"Monday","Tuesday","Wednesday","Thursday","Friday","Saturday","Sunday"))</f>
        <v/>
      </c>
      <c r="B213" s="51" t="str">
        <f aca="false">IF($I213="","",WeekMon+INT($I213/1000))</f>
        <v/>
      </c>
      <c r="C213" s="52" t="str">
        <f aca="false">IF($I213="","",INDEX(Customers!$A$12:$A$311,MOD($I213,1000))&amp;"")</f>
        <v/>
      </c>
      <c r="D213" s="53" t="str">
        <f aca="false">IF($I213="","",INDEX(Customers!$N$12:$N$311,MOD($I213,1000))/100)</f>
        <v/>
      </c>
      <c r="E213" s="54" t="str">
        <f aca="false">IF($I213="","",INDEX(Customers!$C$12:$C$311,MOD($I213,1000))&amp;"")</f>
        <v/>
      </c>
      <c r="F213" s="54"/>
      <c r="I213" s="55" t="str">
        <f aca="false">IF(194&gt;COUNT(Customers!$P$12:$P$311),"",SMALL(Customers!$P$12:$P$311,194))</f>
        <v/>
      </c>
    </row>
    <row r="214" customFormat="false" ht="15" hidden="false" customHeight="false" outlineLevel="0" collapsed="false">
      <c r="A214" s="50" t="str">
        <f aca="false">IF($I214="","",CHOOSE(INT($I214/1000)+1,"Monday","Tuesday","Wednesday","Thursday","Friday","Saturday","Sunday"))</f>
        <v/>
      </c>
      <c r="B214" s="51" t="str">
        <f aca="false">IF($I214="","",WeekMon+INT($I214/1000))</f>
        <v/>
      </c>
      <c r="C214" s="52" t="str">
        <f aca="false">IF($I214="","",INDEX(Customers!$A$12:$A$311,MOD($I214,1000))&amp;"")</f>
        <v/>
      </c>
      <c r="D214" s="53" t="str">
        <f aca="false">IF($I214="","",INDEX(Customers!$N$12:$N$311,MOD($I214,1000))/100)</f>
        <v/>
      </c>
      <c r="E214" s="54" t="str">
        <f aca="false">IF($I214="","",INDEX(Customers!$C$12:$C$311,MOD($I214,1000))&amp;"")</f>
        <v/>
      </c>
      <c r="F214" s="54"/>
      <c r="I214" s="55" t="str">
        <f aca="false">IF(195&gt;COUNT(Customers!$P$12:$P$311),"",SMALL(Customers!$P$12:$P$311,195))</f>
        <v/>
      </c>
    </row>
    <row r="215" customFormat="false" ht="15" hidden="false" customHeight="false" outlineLevel="0" collapsed="false">
      <c r="A215" s="50" t="str">
        <f aca="false">IF($I215="","",CHOOSE(INT($I215/1000)+1,"Monday","Tuesday","Wednesday","Thursday","Friday","Saturday","Sunday"))</f>
        <v/>
      </c>
      <c r="B215" s="51" t="str">
        <f aca="false">IF($I215="","",WeekMon+INT($I215/1000))</f>
        <v/>
      </c>
      <c r="C215" s="52" t="str">
        <f aca="false">IF($I215="","",INDEX(Customers!$A$12:$A$311,MOD($I215,1000))&amp;"")</f>
        <v/>
      </c>
      <c r="D215" s="53" t="str">
        <f aca="false">IF($I215="","",INDEX(Customers!$N$12:$N$311,MOD($I215,1000))/100)</f>
        <v/>
      </c>
      <c r="E215" s="54" t="str">
        <f aca="false">IF($I215="","",INDEX(Customers!$C$12:$C$311,MOD($I215,1000))&amp;"")</f>
        <v/>
      </c>
      <c r="F215" s="54"/>
      <c r="I215" s="55" t="str">
        <f aca="false">IF(196&gt;COUNT(Customers!$P$12:$P$311),"",SMALL(Customers!$P$12:$P$311,196))</f>
        <v/>
      </c>
    </row>
    <row r="216" customFormat="false" ht="15" hidden="false" customHeight="false" outlineLevel="0" collapsed="false">
      <c r="A216" s="50" t="str">
        <f aca="false">IF($I216="","",CHOOSE(INT($I216/1000)+1,"Monday","Tuesday","Wednesday","Thursday","Friday","Saturday","Sunday"))</f>
        <v/>
      </c>
      <c r="B216" s="51" t="str">
        <f aca="false">IF($I216="","",WeekMon+INT($I216/1000))</f>
        <v/>
      </c>
      <c r="C216" s="52" t="str">
        <f aca="false">IF($I216="","",INDEX(Customers!$A$12:$A$311,MOD($I216,1000))&amp;"")</f>
        <v/>
      </c>
      <c r="D216" s="53" t="str">
        <f aca="false">IF($I216="","",INDEX(Customers!$N$12:$N$311,MOD($I216,1000))/100)</f>
        <v/>
      </c>
      <c r="E216" s="54" t="str">
        <f aca="false">IF($I216="","",INDEX(Customers!$C$12:$C$311,MOD($I216,1000))&amp;"")</f>
        <v/>
      </c>
      <c r="F216" s="54"/>
      <c r="I216" s="55" t="str">
        <f aca="false">IF(197&gt;COUNT(Customers!$P$12:$P$311),"",SMALL(Customers!$P$12:$P$311,197))</f>
        <v/>
      </c>
    </row>
    <row r="217" customFormat="false" ht="15" hidden="false" customHeight="false" outlineLevel="0" collapsed="false">
      <c r="A217" s="50" t="str">
        <f aca="false">IF($I217="","",CHOOSE(INT($I217/1000)+1,"Monday","Tuesday","Wednesday","Thursday","Friday","Saturday","Sunday"))</f>
        <v/>
      </c>
      <c r="B217" s="51" t="str">
        <f aca="false">IF($I217="","",WeekMon+INT($I217/1000))</f>
        <v/>
      </c>
      <c r="C217" s="52" t="str">
        <f aca="false">IF($I217="","",INDEX(Customers!$A$12:$A$311,MOD($I217,1000))&amp;"")</f>
        <v/>
      </c>
      <c r="D217" s="53" t="str">
        <f aca="false">IF($I217="","",INDEX(Customers!$N$12:$N$311,MOD($I217,1000))/100)</f>
        <v/>
      </c>
      <c r="E217" s="54" t="str">
        <f aca="false">IF($I217="","",INDEX(Customers!$C$12:$C$311,MOD($I217,1000))&amp;"")</f>
        <v/>
      </c>
      <c r="F217" s="54"/>
      <c r="I217" s="55" t="str">
        <f aca="false">IF(198&gt;COUNT(Customers!$P$12:$P$311),"",SMALL(Customers!$P$12:$P$311,198))</f>
        <v/>
      </c>
    </row>
    <row r="218" customFormat="false" ht="15" hidden="false" customHeight="false" outlineLevel="0" collapsed="false">
      <c r="A218" s="50" t="str">
        <f aca="false">IF($I218="","",CHOOSE(INT($I218/1000)+1,"Monday","Tuesday","Wednesday","Thursday","Friday","Saturday","Sunday"))</f>
        <v/>
      </c>
      <c r="B218" s="51" t="str">
        <f aca="false">IF($I218="","",WeekMon+INT($I218/1000))</f>
        <v/>
      </c>
      <c r="C218" s="52" t="str">
        <f aca="false">IF($I218="","",INDEX(Customers!$A$12:$A$311,MOD($I218,1000))&amp;"")</f>
        <v/>
      </c>
      <c r="D218" s="53" t="str">
        <f aca="false">IF($I218="","",INDEX(Customers!$N$12:$N$311,MOD($I218,1000))/100)</f>
        <v/>
      </c>
      <c r="E218" s="54" t="str">
        <f aca="false">IF($I218="","",INDEX(Customers!$C$12:$C$311,MOD($I218,1000))&amp;"")</f>
        <v/>
      </c>
      <c r="F218" s="54"/>
      <c r="I218" s="55" t="str">
        <f aca="false">IF(199&gt;COUNT(Customers!$P$12:$P$311),"",SMALL(Customers!$P$12:$P$311,199))</f>
        <v/>
      </c>
    </row>
    <row r="219" customFormat="false" ht="15" hidden="false" customHeight="false" outlineLevel="0" collapsed="false">
      <c r="A219" s="50" t="str">
        <f aca="false">IF($I219="","",CHOOSE(INT($I219/1000)+1,"Monday","Tuesday","Wednesday","Thursday","Friday","Saturday","Sunday"))</f>
        <v/>
      </c>
      <c r="B219" s="51" t="str">
        <f aca="false">IF($I219="","",WeekMon+INT($I219/1000))</f>
        <v/>
      </c>
      <c r="C219" s="52" t="str">
        <f aca="false">IF($I219="","",INDEX(Customers!$A$12:$A$311,MOD($I219,1000))&amp;"")</f>
        <v/>
      </c>
      <c r="D219" s="53" t="str">
        <f aca="false">IF($I219="","",INDEX(Customers!$N$12:$N$311,MOD($I219,1000))/100)</f>
        <v/>
      </c>
      <c r="E219" s="54" t="str">
        <f aca="false">IF($I219="","",INDEX(Customers!$C$12:$C$311,MOD($I219,1000))&amp;"")</f>
        <v/>
      </c>
      <c r="F219" s="54"/>
      <c r="I219" s="55" t="str">
        <f aca="false">IF(200&gt;COUNT(Customers!$P$12:$P$311),"",SMALL(Customers!$P$12:$P$311,200))</f>
        <v/>
      </c>
    </row>
    <row r="220" customFormat="false" ht="15" hidden="false" customHeight="false" outlineLevel="0" collapsed="false">
      <c r="A220" s="50" t="str">
        <f aca="false">IF($I220="","",CHOOSE(INT($I220/1000)+1,"Monday","Tuesday","Wednesday","Thursday","Friday","Saturday","Sunday"))</f>
        <v/>
      </c>
      <c r="B220" s="51" t="str">
        <f aca="false">IF($I220="","",WeekMon+INT($I220/1000))</f>
        <v/>
      </c>
      <c r="C220" s="52" t="str">
        <f aca="false">IF($I220="","",INDEX(Customers!$A$12:$A$311,MOD($I220,1000))&amp;"")</f>
        <v/>
      </c>
      <c r="D220" s="53" t="str">
        <f aca="false">IF($I220="","",INDEX(Customers!$N$12:$N$311,MOD($I220,1000))/100)</f>
        <v/>
      </c>
      <c r="E220" s="54" t="str">
        <f aca="false">IF($I220="","",INDEX(Customers!$C$12:$C$311,MOD($I220,1000))&amp;"")</f>
        <v/>
      </c>
      <c r="F220" s="54"/>
      <c r="I220" s="55" t="str">
        <f aca="false">IF(201&gt;COUNT(Customers!$P$12:$P$311),"",SMALL(Customers!$P$12:$P$311,201))</f>
        <v/>
      </c>
    </row>
    <row r="221" customFormat="false" ht="15" hidden="false" customHeight="false" outlineLevel="0" collapsed="false">
      <c r="A221" s="50" t="str">
        <f aca="false">IF($I221="","",CHOOSE(INT($I221/1000)+1,"Monday","Tuesday","Wednesday","Thursday","Friday","Saturday","Sunday"))</f>
        <v/>
      </c>
      <c r="B221" s="51" t="str">
        <f aca="false">IF($I221="","",WeekMon+INT($I221/1000))</f>
        <v/>
      </c>
      <c r="C221" s="52" t="str">
        <f aca="false">IF($I221="","",INDEX(Customers!$A$12:$A$311,MOD($I221,1000))&amp;"")</f>
        <v/>
      </c>
      <c r="D221" s="53" t="str">
        <f aca="false">IF($I221="","",INDEX(Customers!$N$12:$N$311,MOD($I221,1000))/100)</f>
        <v/>
      </c>
      <c r="E221" s="54" t="str">
        <f aca="false">IF($I221="","",INDEX(Customers!$C$12:$C$311,MOD($I221,1000))&amp;"")</f>
        <v/>
      </c>
      <c r="F221" s="54"/>
      <c r="I221" s="55" t="str">
        <f aca="false">IF(202&gt;COUNT(Customers!$P$12:$P$311),"",SMALL(Customers!$P$12:$P$311,202))</f>
        <v/>
      </c>
    </row>
    <row r="222" customFormat="false" ht="15" hidden="false" customHeight="false" outlineLevel="0" collapsed="false">
      <c r="A222" s="50" t="str">
        <f aca="false">IF($I222="","",CHOOSE(INT($I222/1000)+1,"Monday","Tuesday","Wednesday","Thursday","Friday","Saturday","Sunday"))</f>
        <v/>
      </c>
      <c r="B222" s="51" t="str">
        <f aca="false">IF($I222="","",WeekMon+INT($I222/1000))</f>
        <v/>
      </c>
      <c r="C222" s="52" t="str">
        <f aca="false">IF($I222="","",INDEX(Customers!$A$12:$A$311,MOD($I222,1000))&amp;"")</f>
        <v/>
      </c>
      <c r="D222" s="53" t="str">
        <f aca="false">IF($I222="","",INDEX(Customers!$N$12:$N$311,MOD($I222,1000))/100)</f>
        <v/>
      </c>
      <c r="E222" s="54" t="str">
        <f aca="false">IF($I222="","",INDEX(Customers!$C$12:$C$311,MOD($I222,1000))&amp;"")</f>
        <v/>
      </c>
      <c r="F222" s="54"/>
      <c r="I222" s="55" t="str">
        <f aca="false">IF(203&gt;COUNT(Customers!$P$12:$P$311),"",SMALL(Customers!$P$12:$P$311,203))</f>
        <v/>
      </c>
    </row>
    <row r="223" customFormat="false" ht="15" hidden="false" customHeight="false" outlineLevel="0" collapsed="false">
      <c r="A223" s="50" t="str">
        <f aca="false">IF($I223="","",CHOOSE(INT($I223/1000)+1,"Monday","Tuesday","Wednesday","Thursday","Friday","Saturday","Sunday"))</f>
        <v/>
      </c>
      <c r="B223" s="51" t="str">
        <f aca="false">IF($I223="","",WeekMon+INT($I223/1000))</f>
        <v/>
      </c>
      <c r="C223" s="52" t="str">
        <f aca="false">IF($I223="","",INDEX(Customers!$A$12:$A$311,MOD($I223,1000))&amp;"")</f>
        <v/>
      </c>
      <c r="D223" s="53" t="str">
        <f aca="false">IF($I223="","",INDEX(Customers!$N$12:$N$311,MOD($I223,1000))/100)</f>
        <v/>
      </c>
      <c r="E223" s="54" t="str">
        <f aca="false">IF($I223="","",INDEX(Customers!$C$12:$C$311,MOD($I223,1000))&amp;"")</f>
        <v/>
      </c>
      <c r="F223" s="54"/>
      <c r="I223" s="55" t="str">
        <f aca="false">IF(204&gt;COUNT(Customers!$P$12:$P$311),"",SMALL(Customers!$P$12:$P$311,204))</f>
        <v/>
      </c>
    </row>
    <row r="224" customFormat="false" ht="15" hidden="false" customHeight="false" outlineLevel="0" collapsed="false">
      <c r="A224" s="50" t="str">
        <f aca="false">IF($I224="","",CHOOSE(INT($I224/1000)+1,"Monday","Tuesday","Wednesday","Thursday","Friday","Saturday","Sunday"))</f>
        <v/>
      </c>
      <c r="B224" s="51" t="str">
        <f aca="false">IF($I224="","",WeekMon+INT($I224/1000))</f>
        <v/>
      </c>
      <c r="C224" s="52" t="str">
        <f aca="false">IF($I224="","",INDEX(Customers!$A$12:$A$311,MOD($I224,1000))&amp;"")</f>
        <v/>
      </c>
      <c r="D224" s="53" t="str">
        <f aca="false">IF($I224="","",INDEX(Customers!$N$12:$N$311,MOD($I224,1000))/100)</f>
        <v/>
      </c>
      <c r="E224" s="54" t="str">
        <f aca="false">IF($I224="","",INDEX(Customers!$C$12:$C$311,MOD($I224,1000))&amp;"")</f>
        <v/>
      </c>
      <c r="F224" s="54"/>
      <c r="I224" s="55" t="str">
        <f aca="false">IF(205&gt;COUNT(Customers!$P$12:$P$311),"",SMALL(Customers!$P$12:$P$311,205))</f>
        <v/>
      </c>
    </row>
    <row r="225" customFormat="false" ht="15" hidden="false" customHeight="false" outlineLevel="0" collapsed="false">
      <c r="A225" s="50" t="str">
        <f aca="false">IF($I225="","",CHOOSE(INT($I225/1000)+1,"Monday","Tuesday","Wednesday","Thursday","Friday","Saturday","Sunday"))</f>
        <v/>
      </c>
      <c r="B225" s="51" t="str">
        <f aca="false">IF($I225="","",WeekMon+INT($I225/1000))</f>
        <v/>
      </c>
      <c r="C225" s="52" t="str">
        <f aca="false">IF($I225="","",INDEX(Customers!$A$12:$A$311,MOD($I225,1000))&amp;"")</f>
        <v/>
      </c>
      <c r="D225" s="53" t="str">
        <f aca="false">IF($I225="","",INDEX(Customers!$N$12:$N$311,MOD($I225,1000))/100)</f>
        <v/>
      </c>
      <c r="E225" s="54" t="str">
        <f aca="false">IF($I225="","",INDEX(Customers!$C$12:$C$311,MOD($I225,1000))&amp;"")</f>
        <v/>
      </c>
      <c r="F225" s="54"/>
      <c r="I225" s="55" t="str">
        <f aca="false">IF(206&gt;COUNT(Customers!$P$12:$P$311),"",SMALL(Customers!$P$12:$P$311,206))</f>
        <v/>
      </c>
    </row>
    <row r="226" customFormat="false" ht="15" hidden="false" customHeight="false" outlineLevel="0" collapsed="false">
      <c r="A226" s="50" t="str">
        <f aca="false">IF($I226="","",CHOOSE(INT($I226/1000)+1,"Monday","Tuesday","Wednesday","Thursday","Friday","Saturday","Sunday"))</f>
        <v/>
      </c>
      <c r="B226" s="51" t="str">
        <f aca="false">IF($I226="","",WeekMon+INT($I226/1000))</f>
        <v/>
      </c>
      <c r="C226" s="52" t="str">
        <f aca="false">IF($I226="","",INDEX(Customers!$A$12:$A$311,MOD($I226,1000))&amp;"")</f>
        <v/>
      </c>
      <c r="D226" s="53" t="str">
        <f aca="false">IF($I226="","",INDEX(Customers!$N$12:$N$311,MOD($I226,1000))/100)</f>
        <v/>
      </c>
      <c r="E226" s="54" t="str">
        <f aca="false">IF($I226="","",INDEX(Customers!$C$12:$C$311,MOD($I226,1000))&amp;"")</f>
        <v/>
      </c>
      <c r="F226" s="54"/>
      <c r="I226" s="55" t="str">
        <f aca="false">IF(207&gt;COUNT(Customers!$P$12:$P$311),"",SMALL(Customers!$P$12:$P$311,207))</f>
        <v/>
      </c>
    </row>
    <row r="227" customFormat="false" ht="15" hidden="false" customHeight="false" outlineLevel="0" collapsed="false">
      <c r="A227" s="50" t="str">
        <f aca="false">IF($I227="","",CHOOSE(INT($I227/1000)+1,"Monday","Tuesday","Wednesday","Thursday","Friday","Saturday","Sunday"))</f>
        <v/>
      </c>
      <c r="B227" s="51" t="str">
        <f aca="false">IF($I227="","",WeekMon+INT($I227/1000))</f>
        <v/>
      </c>
      <c r="C227" s="52" t="str">
        <f aca="false">IF($I227="","",INDEX(Customers!$A$12:$A$311,MOD($I227,1000))&amp;"")</f>
        <v/>
      </c>
      <c r="D227" s="53" t="str">
        <f aca="false">IF($I227="","",INDEX(Customers!$N$12:$N$311,MOD($I227,1000))/100)</f>
        <v/>
      </c>
      <c r="E227" s="54" t="str">
        <f aca="false">IF($I227="","",INDEX(Customers!$C$12:$C$311,MOD($I227,1000))&amp;"")</f>
        <v/>
      </c>
      <c r="F227" s="54"/>
      <c r="I227" s="55" t="str">
        <f aca="false">IF(208&gt;COUNT(Customers!$P$12:$P$311),"",SMALL(Customers!$P$12:$P$311,208))</f>
        <v/>
      </c>
    </row>
    <row r="228" customFormat="false" ht="15" hidden="false" customHeight="false" outlineLevel="0" collapsed="false">
      <c r="A228" s="50" t="str">
        <f aca="false">IF($I228="","",CHOOSE(INT($I228/1000)+1,"Monday","Tuesday","Wednesday","Thursday","Friday","Saturday","Sunday"))</f>
        <v/>
      </c>
      <c r="B228" s="51" t="str">
        <f aca="false">IF($I228="","",WeekMon+INT($I228/1000))</f>
        <v/>
      </c>
      <c r="C228" s="52" t="str">
        <f aca="false">IF($I228="","",INDEX(Customers!$A$12:$A$311,MOD($I228,1000))&amp;"")</f>
        <v/>
      </c>
      <c r="D228" s="53" t="str">
        <f aca="false">IF($I228="","",INDEX(Customers!$N$12:$N$311,MOD($I228,1000))/100)</f>
        <v/>
      </c>
      <c r="E228" s="54" t="str">
        <f aca="false">IF($I228="","",INDEX(Customers!$C$12:$C$311,MOD($I228,1000))&amp;"")</f>
        <v/>
      </c>
      <c r="F228" s="54"/>
      <c r="I228" s="55" t="str">
        <f aca="false">IF(209&gt;COUNT(Customers!$P$12:$P$311),"",SMALL(Customers!$P$12:$P$311,209))</f>
        <v/>
      </c>
    </row>
    <row r="229" customFormat="false" ht="15" hidden="false" customHeight="false" outlineLevel="0" collapsed="false">
      <c r="A229" s="50" t="str">
        <f aca="false">IF($I229="","",CHOOSE(INT($I229/1000)+1,"Monday","Tuesday","Wednesday","Thursday","Friday","Saturday","Sunday"))</f>
        <v/>
      </c>
      <c r="B229" s="51" t="str">
        <f aca="false">IF($I229="","",WeekMon+INT($I229/1000))</f>
        <v/>
      </c>
      <c r="C229" s="52" t="str">
        <f aca="false">IF($I229="","",INDEX(Customers!$A$12:$A$311,MOD($I229,1000))&amp;"")</f>
        <v/>
      </c>
      <c r="D229" s="53" t="str">
        <f aca="false">IF($I229="","",INDEX(Customers!$N$12:$N$311,MOD($I229,1000))/100)</f>
        <v/>
      </c>
      <c r="E229" s="54" t="str">
        <f aca="false">IF($I229="","",INDEX(Customers!$C$12:$C$311,MOD($I229,1000))&amp;"")</f>
        <v/>
      </c>
      <c r="F229" s="54"/>
      <c r="I229" s="55" t="str">
        <f aca="false">IF(210&gt;COUNT(Customers!$P$12:$P$311),"",SMALL(Customers!$P$12:$P$311,210))</f>
        <v/>
      </c>
    </row>
    <row r="230" customFormat="false" ht="15" hidden="false" customHeight="false" outlineLevel="0" collapsed="false">
      <c r="A230" s="50" t="str">
        <f aca="false">IF($I230="","",CHOOSE(INT($I230/1000)+1,"Monday","Tuesday","Wednesday","Thursday","Friday","Saturday","Sunday"))</f>
        <v/>
      </c>
      <c r="B230" s="51" t="str">
        <f aca="false">IF($I230="","",WeekMon+INT($I230/1000))</f>
        <v/>
      </c>
      <c r="C230" s="52" t="str">
        <f aca="false">IF($I230="","",INDEX(Customers!$A$12:$A$311,MOD($I230,1000))&amp;"")</f>
        <v/>
      </c>
      <c r="D230" s="53" t="str">
        <f aca="false">IF($I230="","",INDEX(Customers!$N$12:$N$311,MOD($I230,1000))/100)</f>
        <v/>
      </c>
      <c r="E230" s="54" t="str">
        <f aca="false">IF($I230="","",INDEX(Customers!$C$12:$C$311,MOD($I230,1000))&amp;"")</f>
        <v/>
      </c>
      <c r="F230" s="54"/>
      <c r="I230" s="55" t="str">
        <f aca="false">IF(211&gt;COUNT(Customers!$P$12:$P$311),"",SMALL(Customers!$P$12:$P$311,211))</f>
        <v/>
      </c>
    </row>
    <row r="231" customFormat="false" ht="15" hidden="false" customHeight="false" outlineLevel="0" collapsed="false">
      <c r="A231" s="50" t="str">
        <f aca="false">IF($I231="","",CHOOSE(INT($I231/1000)+1,"Monday","Tuesday","Wednesday","Thursday","Friday","Saturday","Sunday"))</f>
        <v/>
      </c>
      <c r="B231" s="51" t="str">
        <f aca="false">IF($I231="","",WeekMon+INT($I231/1000))</f>
        <v/>
      </c>
      <c r="C231" s="52" t="str">
        <f aca="false">IF($I231="","",INDEX(Customers!$A$12:$A$311,MOD($I231,1000))&amp;"")</f>
        <v/>
      </c>
      <c r="D231" s="53" t="str">
        <f aca="false">IF($I231="","",INDEX(Customers!$N$12:$N$311,MOD($I231,1000))/100)</f>
        <v/>
      </c>
      <c r="E231" s="54" t="str">
        <f aca="false">IF($I231="","",INDEX(Customers!$C$12:$C$311,MOD($I231,1000))&amp;"")</f>
        <v/>
      </c>
      <c r="F231" s="54"/>
      <c r="I231" s="55" t="str">
        <f aca="false">IF(212&gt;COUNT(Customers!$P$12:$P$311),"",SMALL(Customers!$P$12:$P$311,212))</f>
        <v/>
      </c>
    </row>
    <row r="232" customFormat="false" ht="15" hidden="false" customHeight="false" outlineLevel="0" collapsed="false">
      <c r="A232" s="50" t="str">
        <f aca="false">IF($I232="","",CHOOSE(INT($I232/1000)+1,"Monday","Tuesday","Wednesday","Thursday","Friday","Saturday","Sunday"))</f>
        <v/>
      </c>
      <c r="B232" s="51" t="str">
        <f aca="false">IF($I232="","",WeekMon+INT($I232/1000))</f>
        <v/>
      </c>
      <c r="C232" s="52" t="str">
        <f aca="false">IF($I232="","",INDEX(Customers!$A$12:$A$311,MOD($I232,1000))&amp;"")</f>
        <v/>
      </c>
      <c r="D232" s="53" t="str">
        <f aca="false">IF($I232="","",INDEX(Customers!$N$12:$N$311,MOD($I232,1000))/100)</f>
        <v/>
      </c>
      <c r="E232" s="54" t="str">
        <f aca="false">IF($I232="","",INDEX(Customers!$C$12:$C$311,MOD($I232,1000))&amp;"")</f>
        <v/>
      </c>
      <c r="F232" s="54"/>
      <c r="I232" s="55" t="str">
        <f aca="false">IF(213&gt;COUNT(Customers!$P$12:$P$311),"",SMALL(Customers!$P$12:$P$311,213))</f>
        <v/>
      </c>
    </row>
    <row r="233" customFormat="false" ht="15" hidden="false" customHeight="false" outlineLevel="0" collapsed="false">
      <c r="A233" s="50" t="str">
        <f aca="false">IF($I233="","",CHOOSE(INT($I233/1000)+1,"Monday","Tuesday","Wednesday","Thursday","Friday","Saturday","Sunday"))</f>
        <v/>
      </c>
      <c r="B233" s="51" t="str">
        <f aca="false">IF($I233="","",WeekMon+INT($I233/1000))</f>
        <v/>
      </c>
      <c r="C233" s="52" t="str">
        <f aca="false">IF($I233="","",INDEX(Customers!$A$12:$A$311,MOD($I233,1000))&amp;"")</f>
        <v/>
      </c>
      <c r="D233" s="53" t="str">
        <f aca="false">IF($I233="","",INDEX(Customers!$N$12:$N$311,MOD($I233,1000))/100)</f>
        <v/>
      </c>
      <c r="E233" s="54" t="str">
        <f aca="false">IF($I233="","",INDEX(Customers!$C$12:$C$311,MOD($I233,1000))&amp;"")</f>
        <v/>
      </c>
      <c r="F233" s="54"/>
      <c r="I233" s="55" t="str">
        <f aca="false">IF(214&gt;COUNT(Customers!$P$12:$P$311),"",SMALL(Customers!$P$12:$P$311,214))</f>
        <v/>
      </c>
    </row>
    <row r="234" customFormat="false" ht="15" hidden="false" customHeight="false" outlineLevel="0" collapsed="false">
      <c r="A234" s="50" t="str">
        <f aca="false">IF($I234="","",CHOOSE(INT($I234/1000)+1,"Monday","Tuesday","Wednesday","Thursday","Friday","Saturday","Sunday"))</f>
        <v/>
      </c>
      <c r="B234" s="51" t="str">
        <f aca="false">IF($I234="","",WeekMon+INT($I234/1000))</f>
        <v/>
      </c>
      <c r="C234" s="52" t="str">
        <f aca="false">IF($I234="","",INDEX(Customers!$A$12:$A$311,MOD($I234,1000))&amp;"")</f>
        <v/>
      </c>
      <c r="D234" s="53" t="str">
        <f aca="false">IF($I234="","",INDEX(Customers!$N$12:$N$311,MOD($I234,1000))/100)</f>
        <v/>
      </c>
      <c r="E234" s="54" t="str">
        <f aca="false">IF($I234="","",INDEX(Customers!$C$12:$C$311,MOD($I234,1000))&amp;"")</f>
        <v/>
      </c>
      <c r="F234" s="54"/>
      <c r="I234" s="55" t="str">
        <f aca="false">IF(215&gt;COUNT(Customers!$P$12:$P$311),"",SMALL(Customers!$P$12:$P$311,215))</f>
        <v/>
      </c>
    </row>
    <row r="235" customFormat="false" ht="15" hidden="false" customHeight="false" outlineLevel="0" collapsed="false">
      <c r="A235" s="50" t="str">
        <f aca="false">IF($I235="","",CHOOSE(INT($I235/1000)+1,"Monday","Tuesday","Wednesday","Thursday","Friday","Saturday","Sunday"))</f>
        <v/>
      </c>
      <c r="B235" s="51" t="str">
        <f aca="false">IF($I235="","",WeekMon+INT($I235/1000))</f>
        <v/>
      </c>
      <c r="C235" s="52" t="str">
        <f aca="false">IF($I235="","",INDEX(Customers!$A$12:$A$311,MOD($I235,1000))&amp;"")</f>
        <v/>
      </c>
      <c r="D235" s="53" t="str">
        <f aca="false">IF($I235="","",INDEX(Customers!$N$12:$N$311,MOD($I235,1000))/100)</f>
        <v/>
      </c>
      <c r="E235" s="54" t="str">
        <f aca="false">IF($I235="","",INDEX(Customers!$C$12:$C$311,MOD($I235,1000))&amp;"")</f>
        <v/>
      </c>
      <c r="F235" s="54"/>
      <c r="I235" s="55" t="str">
        <f aca="false">IF(216&gt;COUNT(Customers!$P$12:$P$311),"",SMALL(Customers!$P$12:$P$311,216))</f>
        <v/>
      </c>
    </row>
    <row r="236" customFormat="false" ht="15" hidden="false" customHeight="false" outlineLevel="0" collapsed="false">
      <c r="A236" s="50" t="str">
        <f aca="false">IF($I236="","",CHOOSE(INT($I236/1000)+1,"Monday","Tuesday","Wednesday","Thursday","Friday","Saturday","Sunday"))</f>
        <v/>
      </c>
      <c r="B236" s="51" t="str">
        <f aca="false">IF($I236="","",WeekMon+INT($I236/1000))</f>
        <v/>
      </c>
      <c r="C236" s="52" t="str">
        <f aca="false">IF($I236="","",INDEX(Customers!$A$12:$A$311,MOD($I236,1000))&amp;"")</f>
        <v/>
      </c>
      <c r="D236" s="53" t="str">
        <f aca="false">IF($I236="","",INDEX(Customers!$N$12:$N$311,MOD($I236,1000))/100)</f>
        <v/>
      </c>
      <c r="E236" s="54" t="str">
        <f aca="false">IF($I236="","",INDEX(Customers!$C$12:$C$311,MOD($I236,1000))&amp;"")</f>
        <v/>
      </c>
      <c r="F236" s="54"/>
      <c r="I236" s="55" t="str">
        <f aca="false">IF(217&gt;COUNT(Customers!$P$12:$P$311),"",SMALL(Customers!$P$12:$P$311,217))</f>
        <v/>
      </c>
    </row>
    <row r="237" customFormat="false" ht="15" hidden="false" customHeight="false" outlineLevel="0" collapsed="false">
      <c r="A237" s="50" t="str">
        <f aca="false">IF($I237="","",CHOOSE(INT($I237/1000)+1,"Monday","Tuesday","Wednesday","Thursday","Friday","Saturday","Sunday"))</f>
        <v/>
      </c>
      <c r="B237" s="51" t="str">
        <f aca="false">IF($I237="","",WeekMon+INT($I237/1000))</f>
        <v/>
      </c>
      <c r="C237" s="52" t="str">
        <f aca="false">IF($I237="","",INDEX(Customers!$A$12:$A$311,MOD($I237,1000))&amp;"")</f>
        <v/>
      </c>
      <c r="D237" s="53" t="str">
        <f aca="false">IF($I237="","",INDEX(Customers!$N$12:$N$311,MOD($I237,1000))/100)</f>
        <v/>
      </c>
      <c r="E237" s="54" t="str">
        <f aca="false">IF($I237="","",INDEX(Customers!$C$12:$C$311,MOD($I237,1000))&amp;"")</f>
        <v/>
      </c>
      <c r="F237" s="54"/>
      <c r="I237" s="55" t="str">
        <f aca="false">IF(218&gt;COUNT(Customers!$P$12:$P$311),"",SMALL(Customers!$P$12:$P$311,218))</f>
        <v/>
      </c>
    </row>
    <row r="238" customFormat="false" ht="15" hidden="false" customHeight="false" outlineLevel="0" collapsed="false">
      <c r="A238" s="50" t="str">
        <f aca="false">IF($I238="","",CHOOSE(INT($I238/1000)+1,"Monday","Tuesday","Wednesday","Thursday","Friday","Saturday","Sunday"))</f>
        <v/>
      </c>
      <c r="B238" s="51" t="str">
        <f aca="false">IF($I238="","",WeekMon+INT($I238/1000))</f>
        <v/>
      </c>
      <c r="C238" s="52" t="str">
        <f aca="false">IF($I238="","",INDEX(Customers!$A$12:$A$311,MOD($I238,1000))&amp;"")</f>
        <v/>
      </c>
      <c r="D238" s="53" t="str">
        <f aca="false">IF($I238="","",INDEX(Customers!$N$12:$N$311,MOD($I238,1000))/100)</f>
        <v/>
      </c>
      <c r="E238" s="54" t="str">
        <f aca="false">IF($I238="","",INDEX(Customers!$C$12:$C$311,MOD($I238,1000))&amp;"")</f>
        <v/>
      </c>
      <c r="F238" s="54"/>
      <c r="I238" s="55" t="str">
        <f aca="false">IF(219&gt;COUNT(Customers!$P$12:$P$311),"",SMALL(Customers!$P$12:$P$311,219))</f>
        <v/>
      </c>
    </row>
    <row r="239" customFormat="false" ht="15" hidden="false" customHeight="false" outlineLevel="0" collapsed="false">
      <c r="A239" s="50" t="str">
        <f aca="false">IF($I239="","",CHOOSE(INT($I239/1000)+1,"Monday","Tuesday","Wednesday","Thursday","Friday","Saturday","Sunday"))</f>
        <v/>
      </c>
      <c r="B239" s="51" t="str">
        <f aca="false">IF($I239="","",WeekMon+INT($I239/1000))</f>
        <v/>
      </c>
      <c r="C239" s="52" t="str">
        <f aca="false">IF($I239="","",INDEX(Customers!$A$12:$A$311,MOD($I239,1000))&amp;"")</f>
        <v/>
      </c>
      <c r="D239" s="53" t="str">
        <f aca="false">IF($I239="","",INDEX(Customers!$N$12:$N$311,MOD($I239,1000))/100)</f>
        <v/>
      </c>
      <c r="E239" s="54" t="str">
        <f aca="false">IF($I239="","",INDEX(Customers!$C$12:$C$311,MOD($I239,1000))&amp;"")</f>
        <v/>
      </c>
      <c r="F239" s="54"/>
      <c r="I239" s="55" t="str">
        <f aca="false">IF(220&gt;COUNT(Customers!$P$12:$P$311),"",SMALL(Customers!$P$12:$P$311,220))</f>
        <v/>
      </c>
    </row>
    <row r="240" customFormat="false" ht="15" hidden="false" customHeight="false" outlineLevel="0" collapsed="false">
      <c r="A240" s="50" t="str">
        <f aca="false">IF($I240="","",CHOOSE(INT($I240/1000)+1,"Monday","Tuesday","Wednesday","Thursday","Friday","Saturday","Sunday"))</f>
        <v/>
      </c>
      <c r="B240" s="51" t="str">
        <f aca="false">IF($I240="","",WeekMon+INT($I240/1000))</f>
        <v/>
      </c>
      <c r="C240" s="52" t="str">
        <f aca="false">IF($I240="","",INDEX(Customers!$A$12:$A$311,MOD($I240,1000))&amp;"")</f>
        <v/>
      </c>
      <c r="D240" s="53" t="str">
        <f aca="false">IF($I240="","",INDEX(Customers!$N$12:$N$311,MOD($I240,1000))/100)</f>
        <v/>
      </c>
      <c r="E240" s="54" t="str">
        <f aca="false">IF($I240="","",INDEX(Customers!$C$12:$C$311,MOD($I240,1000))&amp;"")</f>
        <v/>
      </c>
      <c r="F240" s="54"/>
      <c r="I240" s="55" t="str">
        <f aca="false">IF(221&gt;COUNT(Customers!$P$12:$P$311),"",SMALL(Customers!$P$12:$P$311,221))</f>
        <v/>
      </c>
    </row>
    <row r="241" customFormat="false" ht="15" hidden="false" customHeight="false" outlineLevel="0" collapsed="false">
      <c r="A241" s="50" t="str">
        <f aca="false">IF($I241="","",CHOOSE(INT($I241/1000)+1,"Monday","Tuesday","Wednesday","Thursday","Friday","Saturday","Sunday"))</f>
        <v/>
      </c>
      <c r="B241" s="51" t="str">
        <f aca="false">IF($I241="","",WeekMon+INT($I241/1000))</f>
        <v/>
      </c>
      <c r="C241" s="52" t="str">
        <f aca="false">IF($I241="","",INDEX(Customers!$A$12:$A$311,MOD($I241,1000))&amp;"")</f>
        <v/>
      </c>
      <c r="D241" s="53" t="str">
        <f aca="false">IF($I241="","",INDEX(Customers!$N$12:$N$311,MOD($I241,1000))/100)</f>
        <v/>
      </c>
      <c r="E241" s="54" t="str">
        <f aca="false">IF($I241="","",INDEX(Customers!$C$12:$C$311,MOD($I241,1000))&amp;"")</f>
        <v/>
      </c>
      <c r="F241" s="54"/>
      <c r="I241" s="55" t="str">
        <f aca="false">IF(222&gt;COUNT(Customers!$P$12:$P$311),"",SMALL(Customers!$P$12:$P$311,222))</f>
        <v/>
      </c>
    </row>
    <row r="242" customFormat="false" ht="15" hidden="false" customHeight="false" outlineLevel="0" collapsed="false">
      <c r="A242" s="50" t="str">
        <f aca="false">IF($I242="","",CHOOSE(INT($I242/1000)+1,"Monday","Tuesday","Wednesday","Thursday","Friday","Saturday","Sunday"))</f>
        <v/>
      </c>
      <c r="B242" s="51" t="str">
        <f aca="false">IF($I242="","",WeekMon+INT($I242/1000))</f>
        <v/>
      </c>
      <c r="C242" s="52" t="str">
        <f aca="false">IF($I242="","",INDEX(Customers!$A$12:$A$311,MOD($I242,1000))&amp;"")</f>
        <v/>
      </c>
      <c r="D242" s="53" t="str">
        <f aca="false">IF($I242="","",INDEX(Customers!$N$12:$N$311,MOD($I242,1000))/100)</f>
        <v/>
      </c>
      <c r="E242" s="54" t="str">
        <f aca="false">IF($I242="","",INDEX(Customers!$C$12:$C$311,MOD($I242,1000))&amp;"")</f>
        <v/>
      </c>
      <c r="F242" s="54"/>
      <c r="I242" s="55" t="str">
        <f aca="false">IF(223&gt;COUNT(Customers!$P$12:$P$311),"",SMALL(Customers!$P$12:$P$311,223))</f>
        <v/>
      </c>
    </row>
    <row r="243" customFormat="false" ht="15" hidden="false" customHeight="false" outlineLevel="0" collapsed="false">
      <c r="A243" s="50" t="str">
        <f aca="false">IF($I243="","",CHOOSE(INT($I243/1000)+1,"Monday","Tuesday","Wednesday","Thursday","Friday","Saturday","Sunday"))</f>
        <v/>
      </c>
      <c r="B243" s="51" t="str">
        <f aca="false">IF($I243="","",WeekMon+INT($I243/1000))</f>
        <v/>
      </c>
      <c r="C243" s="52" t="str">
        <f aca="false">IF($I243="","",INDEX(Customers!$A$12:$A$311,MOD($I243,1000))&amp;"")</f>
        <v/>
      </c>
      <c r="D243" s="53" t="str">
        <f aca="false">IF($I243="","",INDEX(Customers!$N$12:$N$311,MOD($I243,1000))/100)</f>
        <v/>
      </c>
      <c r="E243" s="54" t="str">
        <f aca="false">IF($I243="","",INDEX(Customers!$C$12:$C$311,MOD($I243,1000))&amp;"")</f>
        <v/>
      </c>
      <c r="F243" s="54"/>
      <c r="I243" s="55" t="str">
        <f aca="false">IF(224&gt;COUNT(Customers!$P$12:$P$311),"",SMALL(Customers!$P$12:$P$311,224))</f>
        <v/>
      </c>
    </row>
    <row r="244" customFormat="false" ht="15" hidden="false" customHeight="false" outlineLevel="0" collapsed="false">
      <c r="A244" s="50" t="str">
        <f aca="false">IF($I244="","",CHOOSE(INT($I244/1000)+1,"Monday","Tuesday","Wednesday","Thursday","Friday","Saturday","Sunday"))</f>
        <v/>
      </c>
      <c r="B244" s="51" t="str">
        <f aca="false">IF($I244="","",WeekMon+INT($I244/1000))</f>
        <v/>
      </c>
      <c r="C244" s="52" t="str">
        <f aca="false">IF($I244="","",INDEX(Customers!$A$12:$A$311,MOD($I244,1000))&amp;"")</f>
        <v/>
      </c>
      <c r="D244" s="53" t="str">
        <f aca="false">IF($I244="","",INDEX(Customers!$N$12:$N$311,MOD($I244,1000))/100)</f>
        <v/>
      </c>
      <c r="E244" s="54" t="str">
        <f aca="false">IF($I244="","",INDEX(Customers!$C$12:$C$311,MOD($I244,1000))&amp;"")</f>
        <v/>
      </c>
      <c r="F244" s="54"/>
      <c r="I244" s="55" t="str">
        <f aca="false">IF(225&gt;COUNT(Customers!$P$12:$P$311),"",SMALL(Customers!$P$12:$P$311,225))</f>
        <v/>
      </c>
    </row>
    <row r="245" customFormat="false" ht="15" hidden="false" customHeight="false" outlineLevel="0" collapsed="false">
      <c r="A245" s="50" t="str">
        <f aca="false">IF($I245="","",CHOOSE(INT($I245/1000)+1,"Monday","Tuesday","Wednesday","Thursday","Friday","Saturday","Sunday"))</f>
        <v/>
      </c>
      <c r="B245" s="51" t="str">
        <f aca="false">IF($I245="","",WeekMon+INT($I245/1000))</f>
        <v/>
      </c>
      <c r="C245" s="52" t="str">
        <f aca="false">IF($I245="","",INDEX(Customers!$A$12:$A$311,MOD($I245,1000))&amp;"")</f>
        <v/>
      </c>
      <c r="D245" s="53" t="str">
        <f aca="false">IF($I245="","",INDEX(Customers!$N$12:$N$311,MOD($I245,1000))/100)</f>
        <v/>
      </c>
      <c r="E245" s="54" t="str">
        <f aca="false">IF($I245="","",INDEX(Customers!$C$12:$C$311,MOD($I245,1000))&amp;"")</f>
        <v/>
      </c>
      <c r="F245" s="54"/>
      <c r="I245" s="55" t="str">
        <f aca="false">IF(226&gt;COUNT(Customers!$P$12:$P$311),"",SMALL(Customers!$P$12:$P$311,226))</f>
        <v/>
      </c>
    </row>
    <row r="246" customFormat="false" ht="15" hidden="false" customHeight="false" outlineLevel="0" collapsed="false">
      <c r="A246" s="50" t="str">
        <f aca="false">IF($I246="","",CHOOSE(INT($I246/1000)+1,"Monday","Tuesday","Wednesday","Thursday","Friday","Saturday","Sunday"))</f>
        <v/>
      </c>
      <c r="B246" s="51" t="str">
        <f aca="false">IF($I246="","",WeekMon+INT($I246/1000))</f>
        <v/>
      </c>
      <c r="C246" s="52" t="str">
        <f aca="false">IF($I246="","",INDEX(Customers!$A$12:$A$311,MOD($I246,1000))&amp;"")</f>
        <v/>
      </c>
      <c r="D246" s="53" t="str">
        <f aca="false">IF($I246="","",INDEX(Customers!$N$12:$N$311,MOD($I246,1000))/100)</f>
        <v/>
      </c>
      <c r="E246" s="54" t="str">
        <f aca="false">IF($I246="","",INDEX(Customers!$C$12:$C$311,MOD($I246,1000))&amp;"")</f>
        <v/>
      </c>
      <c r="F246" s="54"/>
      <c r="I246" s="55" t="str">
        <f aca="false">IF(227&gt;COUNT(Customers!$P$12:$P$311),"",SMALL(Customers!$P$12:$P$311,227))</f>
        <v/>
      </c>
    </row>
    <row r="247" customFormat="false" ht="15" hidden="false" customHeight="false" outlineLevel="0" collapsed="false">
      <c r="A247" s="50" t="str">
        <f aca="false">IF($I247="","",CHOOSE(INT($I247/1000)+1,"Monday","Tuesday","Wednesday","Thursday","Friday","Saturday","Sunday"))</f>
        <v/>
      </c>
      <c r="B247" s="51" t="str">
        <f aca="false">IF($I247="","",WeekMon+INT($I247/1000))</f>
        <v/>
      </c>
      <c r="C247" s="52" t="str">
        <f aca="false">IF($I247="","",INDEX(Customers!$A$12:$A$311,MOD($I247,1000))&amp;"")</f>
        <v/>
      </c>
      <c r="D247" s="53" t="str">
        <f aca="false">IF($I247="","",INDEX(Customers!$N$12:$N$311,MOD($I247,1000))/100)</f>
        <v/>
      </c>
      <c r="E247" s="54" t="str">
        <f aca="false">IF($I247="","",INDEX(Customers!$C$12:$C$311,MOD($I247,1000))&amp;"")</f>
        <v/>
      </c>
      <c r="F247" s="54"/>
      <c r="I247" s="55" t="str">
        <f aca="false">IF(228&gt;COUNT(Customers!$P$12:$P$311),"",SMALL(Customers!$P$12:$P$311,228))</f>
        <v/>
      </c>
    </row>
    <row r="248" customFormat="false" ht="15" hidden="false" customHeight="false" outlineLevel="0" collapsed="false">
      <c r="A248" s="50" t="str">
        <f aca="false">IF($I248="","",CHOOSE(INT($I248/1000)+1,"Monday","Tuesday","Wednesday","Thursday","Friday","Saturday","Sunday"))</f>
        <v/>
      </c>
      <c r="B248" s="51" t="str">
        <f aca="false">IF($I248="","",WeekMon+INT($I248/1000))</f>
        <v/>
      </c>
      <c r="C248" s="52" t="str">
        <f aca="false">IF($I248="","",INDEX(Customers!$A$12:$A$311,MOD($I248,1000))&amp;"")</f>
        <v/>
      </c>
      <c r="D248" s="53" t="str">
        <f aca="false">IF($I248="","",INDEX(Customers!$N$12:$N$311,MOD($I248,1000))/100)</f>
        <v/>
      </c>
      <c r="E248" s="54" t="str">
        <f aca="false">IF($I248="","",INDEX(Customers!$C$12:$C$311,MOD($I248,1000))&amp;"")</f>
        <v/>
      </c>
      <c r="F248" s="54"/>
      <c r="I248" s="55" t="str">
        <f aca="false">IF(229&gt;COUNT(Customers!$P$12:$P$311),"",SMALL(Customers!$P$12:$P$311,229))</f>
        <v/>
      </c>
    </row>
    <row r="249" customFormat="false" ht="15" hidden="false" customHeight="false" outlineLevel="0" collapsed="false">
      <c r="A249" s="50" t="str">
        <f aca="false">IF($I249="","",CHOOSE(INT($I249/1000)+1,"Monday","Tuesday","Wednesday","Thursday","Friday","Saturday","Sunday"))</f>
        <v/>
      </c>
      <c r="B249" s="51" t="str">
        <f aca="false">IF($I249="","",WeekMon+INT($I249/1000))</f>
        <v/>
      </c>
      <c r="C249" s="52" t="str">
        <f aca="false">IF($I249="","",INDEX(Customers!$A$12:$A$311,MOD($I249,1000))&amp;"")</f>
        <v/>
      </c>
      <c r="D249" s="53" t="str">
        <f aca="false">IF($I249="","",INDEX(Customers!$N$12:$N$311,MOD($I249,1000))/100)</f>
        <v/>
      </c>
      <c r="E249" s="54" t="str">
        <f aca="false">IF($I249="","",INDEX(Customers!$C$12:$C$311,MOD($I249,1000))&amp;"")</f>
        <v/>
      </c>
      <c r="F249" s="54"/>
      <c r="I249" s="55" t="str">
        <f aca="false">IF(230&gt;COUNT(Customers!$P$12:$P$311),"",SMALL(Customers!$P$12:$P$311,230))</f>
        <v/>
      </c>
    </row>
    <row r="250" customFormat="false" ht="15" hidden="false" customHeight="false" outlineLevel="0" collapsed="false">
      <c r="A250" s="50" t="str">
        <f aca="false">IF($I250="","",CHOOSE(INT($I250/1000)+1,"Monday","Tuesday","Wednesday","Thursday","Friday","Saturday","Sunday"))</f>
        <v/>
      </c>
      <c r="B250" s="51" t="str">
        <f aca="false">IF($I250="","",WeekMon+INT($I250/1000))</f>
        <v/>
      </c>
      <c r="C250" s="52" t="str">
        <f aca="false">IF($I250="","",INDEX(Customers!$A$12:$A$311,MOD($I250,1000))&amp;"")</f>
        <v/>
      </c>
      <c r="D250" s="53" t="str">
        <f aca="false">IF($I250="","",INDEX(Customers!$N$12:$N$311,MOD($I250,1000))/100)</f>
        <v/>
      </c>
      <c r="E250" s="54" t="str">
        <f aca="false">IF($I250="","",INDEX(Customers!$C$12:$C$311,MOD($I250,1000))&amp;"")</f>
        <v/>
      </c>
      <c r="F250" s="54"/>
      <c r="I250" s="55" t="str">
        <f aca="false">IF(231&gt;COUNT(Customers!$P$12:$P$311),"",SMALL(Customers!$P$12:$P$311,231))</f>
        <v/>
      </c>
    </row>
    <row r="251" customFormat="false" ht="15" hidden="false" customHeight="false" outlineLevel="0" collapsed="false">
      <c r="A251" s="50" t="str">
        <f aca="false">IF($I251="","",CHOOSE(INT($I251/1000)+1,"Monday","Tuesday","Wednesday","Thursday","Friday","Saturday","Sunday"))</f>
        <v/>
      </c>
      <c r="B251" s="51" t="str">
        <f aca="false">IF($I251="","",WeekMon+INT($I251/1000))</f>
        <v/>
      </c>
      <c r="C251" s="52" t="str">
        <f aca="false">IF($I251="","",INDEX(Customers!$A$12:$A$311,MOD($I251,1000))&amp;"")</f>
        <v/>
      </c>
      <c r="D251" s="53" t="str">
        <f aca="false">IF($I251="","",INDEX(Customers!$N$12:$N$311,MOD($I251,1000))/100)</f>
        <v/>
      </c>
      <c r="E251" s="54" t="str">
        <f aca="false">IF($I251="","",INDEX(Customers!$C$12:$C$311,MOD($I251,1000))&amp;"")</f>
        <v/>
      </c>
      <c r="F251" s="54"/>
      <c r="I251" s="55" t="str">
        <f aca="false">IF(232&gt;COUNT(Customers!$P$12:$P$311),"",SMALL(Customers!$P$12:$P$311,232))</f>
        <v/>
      </c>
    </row>
    <row r="252" customFormat="false" ht="15" hidden="false" customHeight="false" outlineLevel="0" collapsed="false">
      <c r="A252" s="50" t="str">
        <f aca="false">IF($I252="","",CHOOSE(INT($I252/1000)+1,"Monday","Tuesday","Wednesday","Thursday","Friday","Saturday","Sunday"))</f>
        <v/>
      </c>
      <c r="B252" s="51" t="str">
        <f aca="false">IF($I252="","",WeekMon+INT($I252/1000))</f>
        <v/>
      </c>
      <c r="C252" s="52" t="str">
        <f aca="false">IF($I252="","",INDEX(Customers!$A$12:$A$311,MOD($I252,1000))&amp;"")</f>
        <v/>
      </c>
      <c r="D252" s="53" t="str">
        <f aca="false">IF($I252="","",INDEX(Customers!$N$12:$N$311,MOD($I252,1000))/100)</f>
        <v/>
      </c>
      <c r="E252" s="54" t="str">
        <f aca="false">IF($I252="","",INDEX(Customers!$C$12:$C$311,MOD($I252,1000))&amp;"")</f>
        <v/>
      </c>
      <c r="F252" s="54"/>
      <c r="I252" s="55" t="str">
        <f aca="false">IF(233&gt;COUNT(Customers!$P$12:$P$311),"",SMALL(Customers!$P$12:$P$311,233))</f>
        <v/>
      </c>
    </row>
    <row r="253" customFormat="false" ht="15" hidden="false" customHeight="false" outlineLevel="0" collapsed="false">
      <c r="A253" s="50" t="str">
        <f aca="false">IF($I253="","",CHOOSE(INT($I253/1000)+1,"Monday","Tuesday","Wednesday","Thursday","Friday","Saturday","Sunday"))</f>
        <v/>
      </c>
      <c r="B253" s="51" t="str">
        <f aca="false">IF($I253="","",WeekMon+INT($I253/1000))</f>
        <v/>
      </c>
      <c r="C253" s="52" t="str">
        <f aca="false">IF($I253="","",INDEX(Customers!$A$12:$A$311,MOD($I253,1000))&amp;"")</f>
        <v/>
      </c>
      <c r="D253" s="53" t="str">
        <f aca="false">IF($I253="","",INDEX(Customers!$N$12:$N$311,MOD($I253,1000))/100)</f>
        <v/>
      </c>
      <c r="E253" s="54" t="str">
        <f aca="false">IF($I253="","",INDEX(Customers!$C$12:$C$311,MOD($I253,1000))&amp;"")</f>
        <v/>
      </c>
      <c r="F253" s="54"/>
      <c r="I253" s="55" t="str">
        <f aca="false">IF(234&gt;COUNT(Customers!$P$12:$P$311),"",SMALL(Customers!$P$12:$P$311,234))</f>
        <v/>
      </c>
    </row>
    <row r="254" customFormat="false" ht="15" hidden="false" customHeight="false" outlineLevel="0" collapsed="false">
      <c r="A254" s="50" t="str">
        <f aca="false">IF($I254="","",CHOOSE(INT($I254/1000)+1,"Monday","Tuesday","Wednesday","Thursday","Friday","Saturday","Sunday"))</f>
        <v/>
      </c>
      <c r="B254" s="51" t="str">
        <f aca="false">IF($I254="","",WeekMon+INT($I254/1000))</f>
        <v/>
      </c>
      <c r="C254" s="52" t="str">
        <f aca="false">IF($I254="","",INDEX(Customers!$A$12:$A$311,MOD($I254,1000))&amp;"")</f>
        <v/>
      </c>
      <c r="D254" s="53" t="str">
        <f aca="false">IF($I254="","",INDEX(Customers!$N$12:$N$311,MOD($I254,1000))/100)</f>
        <v/>
      </c>
      <c r="E254" s="54" t="str">
        <f aca="false">IF($I254="","",INDEX(Customers!$C$12:$C$311,MOD($I254,1000))&amp;"")</f>
        <v/>
      </c>
      <c r="F254" s="54"/>
      <c r="I254" s="55" t="str">
        <f aca="false">IF(235&gt;COUNT(Customers!$P$12:$P$311),"",SMALL(Customers!$P$12:$P$311,235))</f>
        <v/>
      </c>
    </row>
    <row r="255" customFormat="false" ht="15" hidden="false" customHeight="false" outlineLevel="0" collapsed="false">
      <c r="A255" s="50" t="str">
        <f aca="false">IF($I255="","",CHOOSE(INT($I255/1000)+1,"Monday","Tuesday","Wednesday","Thursday","Friday","Saturday","Sunday"))</f>
        <v/>
      </c>
      <c r="B255" s="51" t="str">
        <f aca="false">IF($I255="","",WeekMon+INT($I255/1000))</f>
        <v/>
      </c>
      <c r="C255" s="52" t="str">
        <f aca="false">IF($I255="","",INDEX(Customers!$A$12:$A$311,MOD($I255,1000))&amp;"")</f>
        <v/>
      </c>
      <c r="D255" s="53" t="str">
        <f aca="false">IF($I255="","",INDEX(Customers!$N$12:$N$311,MOD($I255,1000))/100)</f>
        <v/>
      </c>
      <c r="E255" s="54" t="str">
        <f aca="false">IF($I255="","",INDEX(Customers!$C$12:$C$311,MOD($I255,1000))&amp;"")</f>
        <v/>
      </c>
      <c r="F255" s="54"/>
      <c r="I255" s="55" t="str">
        <f aca="false">IF(236&gt;COUNT(Customers!$P$12:$P$311),"",SMALL(Customers!$P$12:$P$311,236))</f>
        <v/>
      </c>
    </row>
    <row r="256" customFormat="false" ht="15" hidden="false" customHeight="false" outlineLevel="0" collapsed="false">
      <c r="A256" s="50" t="str">
        <f aca="false">IF($I256="","",CHOOSE(INT($I256/1000)+1,"Monday","Tuesday","Wednesday","Thursday","Friday","Saturday","Sunday"))</f>
        <v/>
      </c>
      <c r="B256" s="51" t="str">
        <f aca="false">IF($I256="","",WeekMon+INT($I256/1000))</f>
        <v/>
      </c>
      <c r="C256" s="52" t="str">
        <f aca="false">IF($I256="","",INDEX(Customers!$A$12:$A$311,MOD($I256,1000))&amp;"")</f>
        <v/>
      </c>
      <c r="D256" s="53" t="str">
        <f aca="false">IF($I256="","",INDEX(Customers!$N$12:$N$311,MOD($I256,1000))/100)</f>
        <v/>
      </c>
      <c r="E256" s="54" t="str">
        <f aca="false">IF($I256="","",INDEX(Customers!$C$12:$C$311,MOD($I256,1000))&amp;"")</f>
        <v/>
      </c>
      <c r="F256" s="54"/>
      <c r="I256" s="55" t="str">
        <f aca="false">IF(237&gt;COUNT(Customers!$P$12:$P$311),"",SMALL(Customers!$P$12:$P$311,237))</f>
        <v/>
      </c>
    </row>
    <row r="257" customFormat="false" ht="15" hidden="false" customHeight="false" outlineLevel="0" collapsed="false">
      <c r="A257" s="50" t="str">
        <f aca="false">IF($I257="","",CHOOSE(INT($I257/1000)+1,"Monday","Tuesday","Wednesday","Thursday","Friday","Saturday","Sunday"))</f>
        <v/>
      </c>
      <c r="B257" s="51" t="str">
        <f aca="false">IF($I257="","",WeekMon+INT($I257/1000))</f>
        <v/>
      </c>
      <c r="C257" s="52" t="str">
        <f aca="false">IF($I257="","",INDEX(Customers!$A$12:$A$311,MOD($I257,1000))&amp;"")</f>
        <v/>
      </c>
      <c r="D257" s="53" t="str">
        <f aca="false">IF($I257="","",INDEX(Customers!$N$12:$N$311,MOD($I257,1000))/100)</f>
        <v/>
      </c>
      <c r="E257" s="54" t="str">
        <f aca="false">IF($I257="","",INDEX(Customers!$C$12:$C$311,MOD($I257,1000))&amp;"")</f>
        <v/>
      </c>
      <c r="F257" s="54"/>
      <c r="I257" s="55" t="str">
        <f aca="false">IF(238&gt;COUNT(Customers!$P$12:$P$311),"",SMALL(Customers!$P$12:$P$311,238))</f>
        <v/>
      </c>
    </row>
    <row r="258" customFormat="false" ht="15" hidden="false" customHeight="false" outlineLevel="0" collapsed="false">
      <c r="A258" s="50" t="str">
        <f aca="false">IF($I258="","",CHOOSE(INT($I258/1000)+1,"Monday","Tuesday","Wednesday","Thursday","Friday","Saturday","Sunday"))</f>
        <v/>
      </c>
      <c r="B258" s="51" t="str">
        <f aca="false">IF($I258="","",WeekMon+INT($I258/1000))</f>
        <v/>
      </c>
      <c r="C258" s="52" t="str">
        <f aca="false">IF($I258="","",INDEX(Customers!$A$12:$A$311,MOD($I258,1000))&amp;"")</f>
        <v/>
      </c>
      <c r="D258" s="53" t="str">
        <f aca="false">IF($I258="","",INDEX(Customers!$N$12:$N$311,MOD($I258,1000))/100)</f>
        <v/>
      </c>
      <c r="E258" s="54" t="str">
        <f aca="false">IF($I258="","",INDEX(Customers!$C$12:$C$311,MOD($I258,1000))&amp;"")</f>
        <v/>
      </c>
      <c r="F258" s="54"/>
      <c r="I258" s="55" t="str">
        <f aca="false">IF(239&gt;COUNT(Customers!$P$12:$P$311),"",SMALL(Customers!$P$12:$P$311,239))</f>
        <v/>
      </c>
    </row>
    <row r="259" customFormat="false" ht="15" hidden="false" customHeight="false" outlineLevel="0" collapsed="false">
      <c r="A259" s="50" t="str">
        <f aca="false">IF($I259="","",CHOOSE(INT($I259/1000)+1,"Monday","Tuesday","Wednesday","Thursday","Friday","Saturday","Sunday"))</f>
        <v/>
      </c>
      <c r="B259" s="51" t="str">
        <f aca="false">IF($I259="","",WeekMon+INT($I259/1000))</f>
        <v/>
      </c>
      <c r="C259" s="52" t="str">
        <f aca="false">IF($I259="","",INDEX(Customers!$A$12:$A$311,MOD($I259,1000))&amp;"")</f>
        <v/>
      </c>
      <c r="D259" s="53" t="str">
        <f aca="false">IF($I259="","",INDEX(Customers!$N$12:$N$311,MOD($I259,1000))/100)</f>
        <v/>
      </c>
      <c r="E259" s="54" t="str">
        <f aca="false">IF($I259="","",INDEX(Customers!$C$12:$C$311,MOD($I259,1000))&amp;"")</f>
        <v/>
      </c>
      <c r="F259" s="54"/>
      <c r="I259" s="55" t="str">
        <f aca="false">IF(240&gt;COUNT(Customers!$P$12:$P$311),"",SMALL(Customers!$P$12:$P$311,240))</f>
        <v/>
      </c>
    </row>
    <row r="260" customFormat="false" ht="15" hidden="false" customHeight="false" outlineLevel="0" collapsed="false">
      <c r="A260" s="50" t="str">
        <f aca="false">IF($I260="","",CHOOSE(INT($I260/1000)+1,"Monday","Tuesday","Wednesday","Thursday","Friday","Saturday","Sunday"))</f>
        <v/>
      </c>
      <c r="B260" s="51" t="str">
        <f aca="false">IF($I260="","",WeekMon+INT($I260/1000))</f>
        <v/>
      </c>
      <c r="C260" s="52" t="str">
        <f aca="false">IF($I260="","",INDEX(Customers!$A$12:$A$311,MOD($I260,1000))&amp;"")</f>
        <v/>
      </c>
      <c r="D260" s="53" t="str">
        <f aca="false">IF($I260="","",INDEX(Customers!$N$12:$N$311,MOD($I260,1000))/100)</f>
        <v/>
      </c>
      <c r="E260" s="54" t="str">
        <f aca="false">IF($I260="","",INDEX(Customers!$C$12:$C$311,MOD($I260,1000))&amp;"")</f>
        <v/>
      </c>
      <c r="F260" s="54"/>
      <c r="I260" s="55" t="str">
        <f aca="false">IF(241&gt;COUNT(Customers!$P$12:$P$311),"",SMALL(Customers!$P$12:$P$311,241))</f>
        <v/>
      </c>
    </row>
    <row r="261" customFormat="false" ht="15" hidden="false" customHeight="false" outlineLevel="0" collapsed="false">
      <c r="A261" s="50" t="str">
        <f aca="false">IF($I261="","",CHOOSE(INT($I261/1000)+1,"Monday","Tuesday","Wednesday","Thursday","Friday","Saturday","Sunday"))</f>
        <v/>
      </c>
      <c r="B261" s="51" t="str">
        <f aca="false">IF($I261="","",WeekMon+INT($I261/1000))</f>
        <v/>
      </c>
      <c r="C261" s="52" t="str">
        <f aca="false">IF($I261="","",INDEX(Customers!$A$12:$A$311,MOD($I261,1000))&amp;"")</f>
        <v/>
      </c>
      <c r="D261" s="53" t="str">
        <f aca="false">IF($I261="","",INDEX(Customers!$N$12:$N$311,MOD($I261,1000))/100)</f>
        <v/>
      </c>
      <c r="E261" s="54" t="str">
        <f aca="false">IF($I261="","",INDEX(Customers!$C$12:$C$311,MOD($I261,1000))&amp;"")</f>
        <v/>
      </c>
      <c r="F261" s="54"/>
      <c r="I261" s="55" t="str">
        <f aca="false">IF(242&gt;COUNT(Customers!$P$12:$P$311),"",SMALL(Customers!$P$12:$P$311,242))</f>
        <v/>
      </c>
    </row>
    <row r="262" customFormat="false" ht="15" hidden="false" customHeight="false" outlineLevel="0" collapsed="false">
      <c r="A262" s="50" t="str">
        <f aca="false">IF($I262="","",CHOOSE(INT($I262/1000)+1,"Monday","Tuesday","Wednesday","Thursday","Friday","Saturday","Sunday"))</f>
        <v/>
      </c>
      <c r="B262" s="51" t="str">
        <f aca="false">IF($I262="","",WeekMon+INT($I262/1000))</f>
        <v/>
      </c>
      <c r="C262" s="52" t="str">
        <f aca="false">IF($I262="","",INDEX(Customers!$A$12:$A$311,MOD($I262,1000))&amp;"")</f>
        <v/>
      </c>
      <c r="D262" s="53" t="str">
        <f aca="false">IF($I262="","",INDEX(Customers!$N$12:$N$311,MOD($I262,1000))/100)</f>
        <v/>
      </c>
      <c r="E262" s="54" t="str">
        <f aca="false">IF($I262="","",INDEX(Customers!$C$12:$C$311,MOD($I262,1000))&amp;"")</f>
        <v/>
      </c>
      <c r="F262" s="54"/>
      <c r="I262" s="55" t="str">
        <f aca="false">IF(243&gt;COUNT(Customers!$P$12:$P$311),"",SMALL(Customers!$P$12:$P$311,243))</f>
        <v/>
      </c>
    </row>
    <row r="263" customFormat="false" ht="15" hidden="false" customHeight="false" outlineLevel="0" collapsed="false">
      <c r="A263" s="50" t="str">
        <f aca="false">IF($I263="","",CHOOSE(INT($I263/1000)+1,"Monday","Tuesday","Wednesday","Thursday","Friday","Saturday","Sunday"))</f>
        <v/>
      </c>
      <c r="B263" s="51" t="str">
        <f aca="false">IF($I263="","",WeekMon+INT($I263/1000))</f>
        <v/>
      </c>
      <c r="C263" s="52" t="str">
        <f aca="false">IF($I263="","",INDEX(Customers!$A$12:$A$311,MOD($I263,1000))&amp;"")</f>
        <v/>
      </c>
      <c r="D263" s="53" t="str">
        <f aca="false">IF($I263="","",INDEX(Customers!$N$12:$N$311,MOD($I263,1000))/100)</f>
        <v/>
      </c>
      <c r="E263" s="54" t="str">
        <f aca="false">IF($I263="","",INDEX(Customers!$C$12:$C$311,MOD($I263,1000))&amp;"")</f>
        <v/>
      </c>
      <c r="F263" s="54"/>
      <c r="I263" s="55" t="str">
        <f aca="false">IF(244&gt;COUNT(Customers!$P$12:$P$311),"",SMALL(Customers!$P$12:$P$311,244))</f>
        <v/>
      </c>
    </row>
    <row r="264" customFormat="false" ht="15" hidden="false" customHeight="false" outlineLevel="0" collapsed="false">
      <c r="A264" s="50" t="str">
        <f aca="false">IF($I264="","",CHOOSE(INT($I264/1000)+1,"Monday","Tuesday","Wednesday","Thursday","Friday","Saturday","Sunday"))</f>
        <v/>
      </c>
      <c r="B264" s="51" t="str">
        <f aca="false">IF($I264="","",WeekMon+INT($I264/1000))</f>
        <v/>
      </c>
      <c r="C264" s="52" t="str">
        <f aca="false">IF($I264="","",INDEX(Customers!$A$12:$A$311,MOD($I264,1000))&amp;"")</f>
        <v/>
      </c>
      <c r="D264" s="53" t="str">
        <f aca="false">IF($I264="","",INDEX(Customers!$N$12:$N$311,MOD($I264,1000))/100)</f>
        <v/>
      </c>
      <c r="E264" s="54" t="str">
        <f aca="false">IF($I264="","",INDEX(Customers!$C$12:$C$311,MOD($I264,1000))&amp;"")</f>
        <v/>
      </c>
      <c r="F264" s="54"/>
      <c r="I264" s="55" t="str">
        <f aca="false">IF(245&gt;COUNT(Customers!$P$12:$P$311),"",SMALL(Customers!$P$12:$P$311,245))</f>
        <v/>
      </c>
    </row>
    <row r="265" customFormat="false" ht="15" hidden="false" customHeight="false" outlineLevel="0" collapsed="false">
      <c r="A265" s="50" t="str">
        <f aca="false">IF($I265="","",CHOOSE(INT($I265/1000)+1,"Monday","Tuesday","Wednesday","Thursday","Friday","Saturday","Sunday"))</f>
        <v/>
      </c>
      <c r="B265" s="51" t="str">
        <f aca="false">IF($I265="","",WeekMon+INT($I265/1000))</f>
        <v/>
      </c>
      <c r="C265" s="52" t="str">
        <f aca="false">IF($I265="","",INDEX(Customers!$A$12:$A$311,MOD($I265,1000))&amp;"")</f>
        <v/>
      </c>
      <c r="D265" s="53" t="str">
        <f aca="false">IF($I265="","",INDEX(Customers!$N$12:$N$311,MOD($I265,1000))/100)</f>
        <v/>
      </c>
      <c r="E265" s="54" t="str">
        <f aca="false">IF($I265="","",INDEX(Customers!$C$12:$C$311,MOD($I265,1000))&amp;"")</f>
        <v/>
      </c>
      <c r="F265" s="54"/>
      <c r="I265" s="55" t="str">
        <f aca="false">IF(246&gt;COUNT(Customers!$P$12:$P$311),"",SMALL(Customers!$P$12:$P$311,246))</f>
        <v/>
      </c>
    </row>
    <row r="266" customFormat="false" ht="15" hidden="false" customHeight="false" outlineLevel="0" collapsed="false">
      <c r="A266" s="50" t="str">
        <f aca="false">IF($I266="","",CHOOSE(INT($I266/1000)+1,"Monday","Tuesday","Wednesday","Thursday","Friday","Saturday","Sunday"))</f>
        <v/>
      </c>
      <c r="B266" s="51" t="str">
        <f aca="false">IF($I266="","",WeekMon+INT($I266/1000))</f>
        <v/>
      </c>
      <c r="C266" s="52" t="str">
        <f aca="false">IF($I266="","",INDEX(Customers!$A$12:$A$311,MOD($I266,1000))&amp;"")</f>
        <v/>
      </c>
      <c r="D266" s="53" t="str">
        <f aca="false">IF($I266="","",INDEX(Customers!$N$12:$N$311,MOD($I266,1000))/100)</f>
        <v/>
      </c>
      <c r="E266" s="54" t="str">
        <f aca="false">IF($I266="","",INDEX(Customers!$C$12:$C$311,MOD($I266,1000))&amp;"")</f>
        <v/>
      </c>
      <c r="F266" s="54"/>
      <c r="I266" s="55" t="str">
        <f aca="false">IF(247&gt;COUNT(Customers!$P$12:$P$311),"",SMALL(Customers!$P$12:$P$311,247))</f>
        <v/>
      </c>
    </row>
    <row r="267" customFormat="false" ht="15" hidden="false" customHeight="false" outlineLevel="0" collapsed="false">
      <c r="A267" s="50" t="str">
        <f aca="false">IF($I267="","",CHOOSE(INT($I267/1000)+1,"Monday","Tuesday","Wednesday","Thursday","Friday","Saturday","Sunday"))</f>
        <v/>
      </c>
      <c r="B267" s="51" t="str">
        <f aca="false">IF($I267="","",WeekMon+INT($I267/1000))</f>
        <v/>
      </c>
      <c r="C267" s="52" t="str">
        <f aca="false">IF($I267="","",INDEX(Customers!$A$12:$A$311,MOD($I267,1000))&amp;"")</f>
        <v/>
      </c>
      <c r="D267" s="53" t="str">
        <f aca="false">IF($I267="","",INDEX(Customers!$N$12:$N$311,MOD($I267,1000))/100)</f>
        <v/>
      </c>
      <c r="E267" s="54" t="str">
        <f aca="false">IF($I267="","",INDEX(Customers!$C$12:$C$311,MOD($I267,1000))&amp;"")</f>
        <v/>
      </c>
      <c r="F267" s="54"/>
      <c r="I267" s="55" t="str">
        <f aca="false">IF(248&gt;COUNT(Customers!$P$12:$P$311),"",SMALL(Customers!$P$12:$P$311,248))</f>
        <v/>
      </c>
    </row>
    <row r="268" customFormat="false" ht="15" hidden="false" customHeight="false" outlineLevel="0" collapsed="false">
      <c r="A268" s="50" t="str">
        <f aca="false">IF($I268="","",CHOOSE(INT($I268/1000)+1,"Monday","Tuesday","Wednesday","Thursday","Friday","Saturday","Sunday"))</f>
        <v/>
      </c>
      <c r="B268" s="51" t="str">
        <f aca="false">IF($I268="","",WeekMon+INT($I268/1000))</f>
        <v/>
      </c>
      <c r="C268" s="52" t="str">
        <f aca="false">IF($I268="","",INDEX(Customers!$A$12:$A$311,MOD($I268,1000))&amp;"")</f>
        <v/>
      </c>
      <c r="D268" s="53" t="str">
        <f aca="false">IF($I268="","",INDEX(Customers!$N$12:$N$311,MOD($I268,1000))/100)</f>
        <v/>
      </c>
      <c r="E268" s="54" t="str">
        <f aca="false">IF($I268="","",INDEX(Customers!$C$12:$C$311,MOD($I268,1000))&amp;"")</f>
        <v/>
      </c>
      <c r="F268" s="54"/>
      <c r="I268" s="55" t="str">
        <f aca="false">IF(249&gt;COUNT(Customers!$P$12:$P$311),"",SMALL(Customers!$P$12:$P$311,249))</f>
        <v/>
      </c>
    </row>
    <row r="269" customFormat="false" ht="15" hidden="false" customHeight="false" outlineLevel="0" collapsed="false">
      <c r="A269" s="50" t="str">
        <f aca="false">IF($I269="","",CHOOSE(INT($I269/1000)+1,"Monday","Tuesday","Wednesday","Thursday","Friday","Saturday","Sunday"))</f>
        <v/>
      </c>
      <c r="B269" s="51" t="str">
        <f aca="false">IF($I269="","",WeekMon+INT($I269/1000))</f>
        <v/>
      </c>
      <c r="C269" s="52" t="str">
        <f aca="false">IF($I269="","",INDEX(Customers!$A$12:$A$311,MOD($I269,1000))&amp;"")</f>
        <v/>
      </c>
      <c r="D269" s="53" t="str">
        <f aca="false">IF($I269="","",INDEX(Customers!$N$12:$N$311,MOD($I269,1000))/100)</f>
        <v/>
      </c>
      <c r="E269" s="54" t="str">
        <f aca="false">IF($I269="","",INDEX(Customers!$C$12:$C$311,MOD($I269,1000))&amp;"")</f>
        <v/>
      </c>
      <c r="F269" s="54"/>
      <c r="I269" s="55" t="str">
        <f aca="false">IF(250&gt;COUNT(Customers!$P$12:$P$311),"",SMALL(Customers!$P$12:$P$311,250))</f>
        <v/>
      </c>
    </row>
    <row r="270" customFormat="false" ht="15" hidden="false" customHeight="false" outlineLevel="0" collapsed="false">
      <c r="A270" s="50" t="str">
        <f aca="false">IF($I270="","",CHOOSE(INT($I270/1000)+1,"Monday","Tuesday","Wednesday","Thursday","Friday","Saturday","Sunday"))</f>
        <v/>
      </c>
      <c r="B270" s="51" t="str">
        <f aca="false">IF($I270="","",WeekMon+INT($I270/1000))</f>
        <v/>
      </c>
      <c r="C270" s="52" t="str">
        <f aca="false">IF($I270="","",INDEX(Customers!$A$12:$A$311,MOD($I270,1000))&amp;"")</f>
        <v/>
      </c>
      <c r="D270" s="53" t="str">
        <f aca="false">IF($I270="","",INDEX(Customers!$N$12:$N$311,MOD($I270,1000))/100)</f>
        <v/>
      </c>
      <c r="E270" s="54" t="str">
        <f aca="false">IF($I270="","",INDEX(Customers!$C$12:$C$311,MOD($I270,1000))&amp;"")</f>
        <v/>
      </c>
      <c r="F270" s="54"/>
      <c r="I270" s="55" t="str">
        <f aca="false">IF(251&gt;COUNT(Customers!$P$12:$P$311),"",SMALL(Customers!$P$12:$P$311,251))</f>
        <v/>
      </c>
    </row>
    <row r="271" customFormat="false" ht="15" hidden="false" customHeight="false" outlineLevel="0" collapsed="false">
      <c r="A271" s="50" t="str">
        <f aca="false">IF($I271="","",CHOOSE(INT($I271/1000)+1,"Monday","Tuesday","Wednesday","Thursday","Friday","Saturday","Sunday"))</f>
        <v/>
      </c>
      <c r="B271" s="51" t="str">
        <f aca="false">IF($I271="","",WeekMon+INT($I271/1000))</f>
        <v/>
      </c>
      <c r="C271" s="52" t="str">
        <f aca="false">IF($I271="","",INDEX(Customers!$A$12:$A$311,MOD($I271,1000))&amp;"")</f>
        <v/>
      </c>
      <c r="D271" s="53" t="str">
        <f aca="false">IF($I271="","",INDEX(Customers!$N$12:$N$311,MOD($I271,1000))/100)</f>
        <v/>
      </c>
      <c r="E271" s="54" t="str">
        <f aca="false">IF($I271="","",INDEX(Customers!$C$12:$C$311,MOD($I271,1000))&amp;"")</f>
        <v/>
      </c>
      <c r="F271" s="54"/>
      <c r="I271" s="55" t="str">
        <f aca="false">IF(252&gt;COUNT(Customers!$P$12:$P$311),"",SMALL(Customers!$P$12:$P$311,252))</f>
        <v/>
      </c>
    </row>
    <row r="272" customFormat="false" ht="15" hidden="false" customHeight="false" outlineLevel="0" collapsed="false">
      <c r="A272" s="50" t="str">
        <f aca="false">IF($I272="","",CHOOSE(INT($I272/1000)+1,"Monday","Tuesday","Wednesday","Thursday","Friday","Saturday","Sunday"))</f>
        <v/>
      </c>
      <c r="B272" s="51" t="str">
        <f aca="false">IF($I272="","",WeekMon+INT($I272/1000))</f>
        <v/>
      </c>
      <c r="C272" s="52" t="str">
        <f aca="false">IF($I272="","",INDEX(Customers!$A$12:$A$311,MOD($I272,1000))&amp;"")</f>
        <v/>
      </c>
      <c r="D272" s="53" t="str">
        <f aca="false">IF($I272="","",INDEX(Customers!$N$12:$N$311,MOD($I272,1000))/100)</f>
        <v/>
      </c>
      <c r="E272" s="54" t="str">
        <f aca="false">IF($I272="","",INDEX(Customers!$C$12:$C$311,MOD($I272,1000))&amp;"")</f>
        <v/>
      </c>
      <c r="F272" s="54"/>
      <c r="I272" s="55" t="str">
        <f aca="false">IF(253&gt;COUNT(Customers!$P$12:$P$311),"",SMALL(Customers!$P$12:$P$311,253))</f>
        <v/>
      </c>
    </row>
    <row r="273" customFormat="false" ht="15" hidden="false" customHeight="false" outlineLevel="0" collapsed="false">
      <c r="A273" s="50" t="str">
        <f aca="false">IF($I273="","",CHOOSE(INT($I273/1000)+1,"Monday","Tuesday","Wednesday","Thursday","Friday","Saturday","Sunday"))</f>
        <v/>
      </c>
      <c r="B273" s="51" t="str">
        <f aca="false">IF($I273="","",WeekMon+INT($I273/1000))</f>
        <v/>
      </c>
      <c r="C273" s="52" t="str">
        <f aca="false">IF($I273="","",INDEX(Customers!$A$12:$A$311,MOD($I273,1000))&amp;"")</f>
        <v/>
      </c>
      <c r="D273" s="53" t="str">
        <f aca="false">IF($I273="","",INDEX(Customers!$N$12:$N$311,MOD($I273,1000))/100)</f>
        <v/>
      </c>
      <c r="E273" s="54" t="str">
        <f aca="false">IF($I273="","",INDEX(Customers!$C$12:$C$311,MOD($I273,1000))&amp;"")</f>
        <v/>
      </c>
      <c r="F273" s="54"/>
      <c r="I273" s="55" t="str">
        <f aca="false">IF(254&gt;COUNT(Customers!$P$12:$P$311),"",SMALL(Customers!$P$12:$P$311,254))</f>
        <v/>
      </c>
    </row>
    <row r="274" customFormat="false" ht="15" hidden="false" customHeight="false" outlineLevel="0" collapsed="false">
      <c r="A274" s="50" t="str">
        <f aca="false">IF($I274="","",CHOOSE(INT($I274/1000)+1,"Monday","Tuesday","Wednesday","Thursday","Friday","Saturday","Sunday"))</f>
        <v/>
      </c>
      <c r="B274" s="51" t="str">
        <f aca="false">IF($I274="","",WeekMon+INT($I274/1000))</f>
        <v/>
      </c>
      <c r="C274" s="52" t="str">
        <f aca="false">IF($I274="","",INDEX(Customers!$A$12:$A$311,MOD($I274,1000))&amp;"")</f>
        <v/>
      </c>
      <c r="D274" s="53" t="str">
        <f aca="false">IF($I274="","",INDEX(Customers!$N$12:$N$311,MOD($I274,1000))/100)</f>
        <v/>
      </c>
      <c r="E274" s="54" t="str">
        <f aca="false">IF($I274="","",INDEX(Customers!$C$12:$C$311,MOD($I274,1000))&amp;"")</f>
        <v/>
      </c>
      <c r="F274" s="54"/>
      <c r="I274" s="55" t="str">
        <f aca="false">IF(255&gt;COUNT(Customers!$P$12:$P$311),"",SMALL(Customers!$P$12:$P$311,255))</f>
        <v/>
      </c>
    </row>
    <row r="275" customFormat="false" ht="15" hidden="false" customHeight="false" outlineLevel="0" collapsed="false">
      <c r="A275" s="50" t="str">
        <f aca="false">IF($I275="","",CHOOSE(INT($I275/1000)+1,"Monday","Tuesday","Wednesday","Thursday","Friday","Saturday","Sunday"))</f>
        <v/>
      </c>
      <c r="B275" s="51" t="str">
        <f aca="false">IF($I275="","",WeekMon+INT($I275/1000))</f>
        <v/>
      </c>
      <c r="C275" s="52" t="str">
        <f aca="false">IF($I275="","",INDEX(Customers!$A$12:$A$311,MOD($I275,1000))&amp;"")</f>
        <v/>
      </c>
      <c r="D275" s="53" t="str">
        <f aca="false">IF($I275="","",INDEX(Customers!$N$12:$N$311,MOD($I275,1000))/100)</f>
        <v/>
      </c>
      <c r="E275" s="54" t="str">
        <f aca="false">IF($I275="","",INDEX(Customers!$C$12:$C$311,MOD($I275,1000))&amp;"")</f>
        <v/>
      </c>
      <c r="F275" s="54"/>
      <c r="I275" s="55" t="str">
        <f aca="false">IF(256&gt;COUNT(Customers!$P$12:$P$311),"",SMALL(Customers!$P$12:$P$311,256))</f>
        <v/>
      </c>
    </row>
    <row r="276" customFormat="false" ht="15" hidden="false" customHeight="false" outlineLevel="0" collapsed="false">
      <c r="A276" s="50" t="str">
        <f aca="false">IF($I276="","",CHOOSE(INT($I276/1000)+1,"Monday","Tuesday","Wednesday","Thursday","Friday","Saturday","Sunday"))</f>
        <v/>
      </c>
      <c r="B276" s="51" t="str">
        <f aca="false">IF($I276="","",WeekMon+INT($I276/1000))</f>
        <v/>
      </c>
      <c r="C276" s="52" t="str">
        <f aca="false">IF($I276="","",INDEX(Customers!$A$12:$A$311,MOD($I276,1000))&amp;"")</f>
        <v/>
      </c>
      <c r="D276" s="53" t="str">
        <f aca="false">IF($I276="","",INDEX(Customers!$N$12:$N$311,MOD($I276,1000))/100)</f>
        <v/>
      </c>
      <c r="E276" s="54" t="str">
        <f aca="false">IF($I276="","",INDEX(Customers!$C$12:$C$311,MOD($I276,1000))&amp;"")</f>
        <v/>
      </c>
      <c r="F276" s="54"/>
      <c r="I276" s="55" t="str">
        <f aca="false">IF(257&gt;COUNT(Customers!$P$12:$P$311),"",SMALL(Customers!$P$12:$P$311,257))</f>
        <v/>
      </c>
    </row>
    <row r="277" customFormat="false" ht="15" hidden="false" customHeight="false" outlineLevel="0" collapsed="false">
      <c r="A277" s="50" t="str">
        <f aca="false">IF($I277="","",CHOOSE(INT($I277/1000)+1,"Monday","Tuesday","Wednesday","Thursday","Friday","Saturday","Sunday"))</f>
        <v/>
      </c>
      <c r="B277" s="51" t="str">
        <f aca="false">IF($I277="","",WeekMon+INT($I277/1000))</f>
        <v/>
      </c>
      <c r="C277" s="52" t="str">
        <f aca="false">IF($I277="","",INDEX(Customers!$A$12:$A$311,MOD($I277,1000))&amp;"")</f>
        <v/>
      </c>
      <c r="D277" s="53" t="str">
        <f aca="false">IF($I277="","",INDEX(Customers!$N$12:$N$311,MOD($I277,1000))/100)</f>
        <v/>
      </c>
      <c r="E277" s="54" t="str">
        <f aca="false">IF($I277="","",INDEX(Customers!$C$12:$C$311,MOD($I277,1000))&amp;"")</f>
        <v/>
      </c>
      <c r="F277" s="54"/>
      <c r="I277" s="55" t="str">
        <f aca="false">IF(258&gt;COUNT(Customers!$P$12:$P$311),"",SMALL(Customers!$P$12:$P$311,258))</f>
        <v/>
      </c>
    </row>
    <row r="278" customFormat="false" ht="15" hidden="false" customHeight="false" outlineLevel="0" collapsed="false">
      <c r="A278" s="50" t="str">
        <f aca="false">IF($I278="","",CHOOSE(INT($I278/1000)+1,"Monday","Tuesday","Wednesday","Thursday","Friday","Saturday","Sunday"))</f>
        <v/>
      </c>
      <c r="B278" s="51" t="str">
        <f aca="false">IF($I278="","",WeekMon+INT($I278/1000))</f>
        <v/>
      </c>
      <c r="C278" s="52" t="str">
        <f aca="false">IF($I278="","",INDEX(Customers!$A$12:$A$311,MOD($I278,1000))&amp;"")</f>
        <v/>
      </c>
      <c r="D278" s="53" t="str">
        <f aca="false">IF($I278="","",INDEX(Customers!$N$12:$N$311,MOD($I278,1000))/100)</f>
        <v/>
      </c>
      <c r="E278" s="54" t="str">
        <f aca="false">IF($I278="","",INDEX(Customers!$C$12:$C$311,MOD($I278,1000))&amp;"")</f>
        <v/>
      </c>
      <c r="F278" s="54"/>
      <c r="I278" s="55" t="str">
        <f aca="false">IF(259&gt;COUNT(Customers!$P$12:$P$311),"",SMALL(Customers!$P$12:$P$311,259))</f>
        <v/>
      </c>
    </row>
    <row r="279" customFormat="false" ht="15" hidden="false" customHeight="false" outlineLevel="0" collapsed="false">
      <c r="A279" s="50" t="str">
        <f aca="false">IF($I279="","",CHOOSE(INT($I279/1000)+1,"Monday","Tuesday","Wednesday","Thursday","Friday","Saturday","Sunday"))</f>
        <v/>
      </c>
      <c r="B279" s="51" t="str">
        <f aca="false">IF($I279="","",WeekMon+INT($I279/1000))</f>
        <v/>
      </c>
      <c r="C279" s="52" t="str">
        <f aca="false">IF($I279="","",INDEX(Customers!$A$12:$A$311,MOD($I279,1000))&amp;"")</f>
        <v/>
      </c>
      <c r="D279" s="53" t="str">
        <f aca="false">IF($I279="","",INDEX(Customers!$N$12:$N$311,MOD($I279,1000))/100)</f>
        <v/>
      </c>
      <c r="E279" s="54" t="str">
        <f aca="false">IF($I279="","",INDEX(Customers!$C$12:$C$311,MOD($I279,1000))&amp;"")</f>
        <v/>
      </c>
      <c r="F279" s="54"/>
      <c r="I279" s="55" t="str">
        <f aca="false">IF(260&gt;COUNT(Customers!$P$12:$P$311),"",SMALL(Customers!$P$12:$P$311,260))</f>
        <v/>
      </c>
    </row>
    <row r="280" customFormat="false" ht="15" hidden="false" customHeight="false" outlineLevel="0" collapsed="false">
      <c r="A280" s="50" t="str">
        <f aca="false">IF($I280="","",CHOOSE(INT($I280/1000)+1,"Monday","Tuesday","Wednesday","Thursday","Friday","Saturday","Sunday"))</f>
        <v/>
      </c>
      <c r="B280" s="51" t="str">
        <f aca="false">IF($I280="","",WeekMon+INT($I280/1000))</f>
        <v/>
      </c>
      <c r="C280" s="52" t="str">
        <f aca="false">IF($I280="","",INDEX(Customers!$A$12:$A$311,MOD($I280,1000))&amp;"")</f>
        <v/>
      </c>
      <c r="D280" s="53" t="str">
        <f aca="false">IF($I280="","",INDEX(Customers!$N$12:$N$311,MOD($I280,1000))/100)</f>
        <v/>
      </c>
      <c r="E280" s="54" t="str">
        <f aca="false">IF($I280="","",INDEX(Customers!$C$12:$C$311,MOD($I280,1000))&amp;"")</f>
        <v/>
      </c>
      <c r="F280" s="54"/>
      <c r="I280" s="55" t="str">
        <f aca="false">IF(261&gt;COUNT(Customers!$P$12:$P$311),"",SMALL(Customers!$P$12:$P$311,261))</f>
        <v/>
      </c>
    </row>
    <row r="281" customFormat="false" ht="15" hidden="false" customHeight="false" outlineLevel="0" collapsed="false">
      <c r="A281" s="50" t="str">
        <f aca="false">IF($I281="","",CHOOSE(INT($I281/1000)+1,"Monday","Tuesday","Wednesday","Thursday","Friday","Saturday","Sunday"))</f>
        <v/>
      </c>
      <c r="B281" s="51" t="str">
        <f aca="false">IF($I281="","",WeekMon+INT($I281/1000))</f>
        <v/>
      </c>
      <c r="C281" s="52" t="str">
        <f aca="false">IF($I281="","",INDEX(Customers!$A$12:$A$311,MOD($I281,1000))&amp;"")</f>
        <v/>
      </c>
      <c r="D281" s="53" t="str">
        <f aca="false">IF($I281="","",INDEX(Customers!$N$12:$N$311,MOD($I281,1000))/100)</f>
        <v/>
      </c>
      <c r="E281" s="54" t="str">
        <f aca="false">IF($I281="","",INDEX(Customers!$C$12:$C$311,MOD($I281,1000))&amp;"")</f>
        <v/>
      </c>
      <c r="F281" s="54"/>
      <c r="I281" s="55" t="str">
        <f aca="false">IF(262&gt;COUNT(Customers!$P$12:$P$311),"",SMALL(Customers!$P$12:$P$311,262))</f>
        <v/>
      </c>
    </row>
    <row r="282" customFormat="false" ht="15" hidden="false" customHeight="false" outlineLevel="0" collapsed="false">
      <c r="A282" s="50" t="str">
        <f aca="false">IF($I282="","",CHOOSE(INT($I282/1000)+1,"Monday","Tuesday","Wednesday","Thursday","Friday","Saturday","Sunday"))</f>
        <v/>
      </c>
      <c r="B282" s="51" t="str">
        <f aca="false">IF($I282="","",WeekMon+INT($I282/1000))</f>
        <v/>
      </c>
      <c r="C282" s="52" t="str">
        <f aca="false">IF($I282="","",INDEX(Customers!$A$12:$A$311,MOD($I282,1000))&amp;"")</f>
        <v/>
      </c>
      <c r="D282" s="53" t="str">
        <f aca="false">IF($I282="","",INDEX(Customers!$N$12:$N$311,MOD($I282,1000))/100)</f>
        <v/>
      </c>
      <c r="E282" s="54" t="str">
        <f aca="false">IF($I282="","",INDEX(Customers!$C$12:$C$311,MOD($I282,1000))&amp;"")</f>
        <v/>
      </c>
      <c r="F282" s="54"/>
      <c r="I282" s="55" t="str">
        <f aca="false">IF(263&gt;COUNT(Customers!$P$12:$P$311),"",SMALL(Customers!$P$12:$P$311,263))</f>
        <v/>
      </c>
    </row>
    <row r="283" customFormat="false" ht="15" hidden="false" customHeight="false" outlineLevel="0" collapsed="false">
      <c r="A283" s="50" t="str">
        <f aca="false">IF($I283="","",CHOOSE(INT($I283/1000)+1,"Monday","Tuesday","Wednesday","Thursday","Friday","Saturday","Sunday"))</f>
        <v/>
      </c>
      <c r="B283" s="51" t="str">
        <f aca="false">IF($I283="","",WeekMon+INT($I283/1000))</f>
        <v/>
      </c>
      <c r="C283" s="52" t="str">
        <f aca="false">IF($I283="","",INDEX(Customers!$A$12:$A$311,MOD($I283,1000))&amp;"")</f>
        <v/>
      </c>
      <c r="D283" s="53" t="str">
        <f aca="false">IF($I283="","",INDEX(Customers!$N$12:$N$311,MOD($I283,1000))/100)</f>
        <v/>
      </c>
      <c r="E283" s="54" t="str">
        <f aca="false">IF($I283="","",INDEX(Customers!$C$12:$C$311,MOD($I283,1000))&amp;"")</f>
        <v/>
      </c>
      <c r="F283" s="54"/>
      <c r="I283" s="55" t="str">
        <f aca="false">IF(264&gt;COUNT(Customers!$P$12:$P$311),"",SMALL(Customers!$P$12:$P$311,264))</f>
        <v/>
      </c>
    </row>
    <row r="284" customFormat="false" ht="15" hidden="false" customHeight="false" outlineLevel="0" collapsed="false">
      <c r="A284" s="50" t="str">
        <f aca="false">IF($I284="","",CHOOSE(INT($I284/1000)+1,"Monday","Tuesday","Wednesday","Thursday","Friday","Saturday","Sunday"))</f>
        <v/>
      </c>
      <c r="B284" s="51" t="str">
        <f aca="false">IF($I284="","",WeekMon+INT($I284/1000))</f>
        <v/>
      </c>
      <c r="C284" s="52" t="str">
        <f aca="false">IF($I284="","",INDEX(Customers!$A$12:$A$311,MOD($I284,1000))&amp;"")</f>
        <v/>
      </c>
      <c r="D284" s="53" t="str">
        <f aca="false">IF($I284="","",INDEX(Customers!$N$12:$N$311,MOD($I284,1000))/100)</f>
        <v/>
      </c>
      <c r="E284" s="54" t="str">
        <f aca="false">IF($I284="","",INDEX(Customers!$C$12:$C$311,MOD($I284,1000))&amp;"")</f>
        <v/>
      </c>
      <c r="F284" s="54"/>
      <c r="I284" s="55" t="str">
        <f aca="false">IF(265&gt;COUNT(Customers!$P$12:$P$311),"",SMALL(Customers!$P$12:$P$311,265))</f>
        <v/>
      </c>
    </row>
    <row r="285" customFormat="false" ht="15" hidden="false" customHeight="false" outlineLevel="0" collapsed="false">
      <c r="A285" s="50" t="str">
        <f aca="false">IF($I285="","",CHOOSE(INT($I285/1000)+1,"Monday","Tuesday","Wednesday","Thursday","Friday","Saturday","Sunday"))</f>
        <v/>
      </c>
      <c r="B285" s="51" t="str">
        <f aca="false">IF($I285="","",WeekMon+INT($I285/1000))</f>
        <v/>
      </c>
      <c r="C285" s="52" t="str">
        <f aca="false">IF($I285="","",INDEX(Customers!$A$12:$A$311,MOD($I285,1000))&amp;"")</f>
        <v/>
      </c>
      <c r="D285" s="53" t="str">
        <f aca="false">IF($I285="","",INDEX(Customers!$N$12:$N$311,MOD($I285,1000))/100)</f>
        <v/>
      </c>
      <c r="E285" s="54" t="str">
        <f aca="false">IF($I285="","",INDEX(Customers!$C$12:$C$311,MOD($I285,1000))&amp;"")</f>
        <v/>
      </c>
      <c r="F285" s="54"/>
      <c r="I285" s="55" t="str">
        <f aca="false">IF(266&gt;COUNT(Customers!$P$12:$P$311),"",SMALL(Customers!$P$12:$P$311,266))</f>
        <v/>
      </c>
    </row>
    <row r="286" customFormat="false" ht="15" hidden="false" customHeight="false" outlineLevel="0" collapsed="false">
      <c r="A286" s="50" t="str">
        <f aca="false">IF($I286="","",CHOOSE(INT($I286/1000)+1,"Monday","Tuesday","Wednesday","Thursday","Friday","Saturday","Sunday"))</f>
        <v/>
      </c>
      <c r="B286" s="51" t="str">
        <f aca="false">IF($I286="","",WeekMon+INT($I286/1000))</f>
        <v/>
      </c>
      <c r="C286" s="52" t="str">
        <f aca="false">IF($I286="","",INDEX(Customers!$A$12:$A$311,MOD($I286,1000))&amp;"")</f>
        <v/>
      </c>
      <c r="D286" s="53" t="str">
        <f aca="false">IF($I286="","",INDEX(Customers!$N$12:$N$311,MOD($I286,1000))/100)</f>
        <v/>
      </c>
      <c r="E286" s="54" t="str">
        <f aca="false">IF($I286="","",INDEX(Customers!$C$12:$C$311,MOD($I286,1000))&amp;"")</f>
        <v/>
      </c>
      <c r="F286" s="54"/>
      <c r="I286" s="55" t="str">
        <f aca="false">IF(267&gt;COUNT(Customers!$P$12:$P$311),"",SMALL(Customers!$P$12:$P$311,267))</f>
        <v/>
      </c>
    </row>
    <row r="287" customFormat="false" ht="15" hidden="false" customHeight="false" outlineLevel="0" collapsed="false">
      <c r="A287" s="50" t="str">
        <f aca="false">IF($I287="","",CHOOSE(INT($I287/1000)+1,"Monday","Tuesday","Wednesday","Thursday","Friday","Saturday","Sunday"))</f>
        <v/>
      </c>
      <c r="B287" s="51" t="str">
        <f aca="false">IF($I287="","",WeekMon+INT($I287/1000))</f>
        <v/>
      </c>
      <c r="C287" s="52" t="str">
        <f aca="false">IF($I287="","",INDEX(Customers!$A$12:$A$311,MOD($I287,1000))&amp;"")</f>
        <v/>
      </c>
      <c r="D287" s="53" t="str">
        <f aca="false">IF($I287="","",INDEX(Customers!$N$12:$N$311,MOD($I287,1000))/100)</f>
        <v/>
      </c>
      <c r="E287" s="54" t="str">
        <f aca="false">IF($I287="","",INDEX(Customers!$C$12:$C$311,MOD($I287,1000))&amp;"")</f>
        <v/>
      </c>
      <c r="F287" s="54"/>
      <c r="I287" s="55" t="str">
        <f aca="false">IF(268&gt;COUNT(Customers!$P$12:$P$311),"",SMALL(Customers!$P$12:$P$311,268))</f>
        <v/>
      </c>
    </row>
    <row r="288" customFormat="false" ht="15" hidden="false" customHeight="false" outlineLevel="0" collapsed="false">
      <c r="A288" s="50" t="str">
        <f aca="false">IF($I288="","",CHOOSE(INT($I288/1000)+1,"Monday","Tuesday","Wednesday","Thursday","Friday","Saturday","Sunday"))</f>
        <v/>
      </c>
      <c r="B288" s="51" t="str">
        <f aca="false">IF($I288="","",WeekMon+INT($I288/1000))</f>
        <v/>
      </c>
      <c r="C288" s="52" t="str">
        <f aca="false">IF($I288="","",INDEX(Customers!$A$12:$A$311,MOD($I288,1000))&amp;"")</f>
        <v/>
      </c>
      <c r="D288" s="53" t="str">
        <f aca="false">IF($I288="","",INDEX(Customers!$N$12:$N$311,MOD($I288,1000))/100)</f>
        <v/>
      </c>
      <c r="E288" s="54" t="str">
        <f aca="false">IF($I288="","",INDEX(Customers!$C$12:$C$311,MOD($I288,1000))&amp;"")</f>
        <v/>
      </c>
      <c r="F288" s="54"/>
      <c r="I288" s="55" t="str">
        <f aca="false">IF(269&gt;COUNT(Customers!$P$12:$P$311),"",SMALL(Customers!$P$12:$P$311,269))</f>
        <v/>
      </c>
    </row>
    <row r="289" customFormat="false" ht="15" hidden="false" customHeight="false" outlineLevel="0" collapsed="false">
      <c r="A289" s="50" t="str">
        <f aca="false">IF($I289="","",CHOOSE(INT($I289/1000)+1,"Monday","Tuesday","Wednesday","Thursday","Friday","Saturday","Sunday"))</f>
        <v/>
      </c>
      <c r="B289" s="51" t="str">
        <f aca="false">IF($I289="","",WeekMon+INT($I289/1000))</f>
        <v/>
      </c>
      <c r="C289" s="52" t="str">
        <f aca="false">IF($I289="","",INDEX(Customers!$A$12:$A$311,MOD($I289,1000))&amp;"")</f>
        <v/>
      </c>
      <c r="D289" s="53" t="str">
        <f aca="false">IF($I289="","",INDEX(Customers!$N$12:$N$311,MOD($I289,1000))/100)</f>
        <v/>
      </c>
      <c r="E289" s="54" t="str">
        <f aca="false">IF($I289="","",INDEX(Customers!$C$12:$C$311,MOD($I289,1000))&amp;"")</f>
        <v/>
      </c>
      <c r="F289" s="54"/>
      <c r="I289" s="55" t="str">
        <f aca="false">IF(270&gt;COUNT(Customers!$P$12:$P$311),"",SMALL(Customers!$P$12:$P$311,270))</f>
        <v/>
      </c>
    </row>
    <row r="290" customFormat="false" ht="15" hidden="false" customHeight="false" outlineLevel="0" collapsed="false">
      <c r="A290" s="50" t="str">
        <f aca="false">IF($I290="","",CHOOSE(INT($I290/1000)+1,"Monday","Tuesday","Wednesday","Thursday","Friday","Saturday","Sunday"))</f>
        <v/>
      </c>
      <c r="B290" s="51" t="str">
        <f aca="false">IF($I290="","",WeekMon+INT($I290/1000))</f>
        <v/>
      </c>
      <c r="C290" s="52" t="str">
        <f aca="false">IF($I290="","",INDEX(Customers!$A$12:$A$311,MOD($I290,1000))&amp;"")</f>
        <v/>
      </c>
      <c r="D290" s="53" t="str">
        <f aca="false">IF($I290="","",INDEX(Customers!$N$12:$N$311,MOD($I290,1000))/100)</f>
        <v/>
      </c>
      <c r="E290" s="54" t="str">
        <f aca="false">IF($I290="","",INDEX(Customers!$C$12:$C$311,MOD($I290,1000))&amp;"")</f>
        <v/>
      </c>
      <c r="F290" s="54"/>
      <c r="I290" s="55" t="str">
        <f aca="false">IF(271&gt;COUNT(Customers!$P$12:$P$311),"",SMALL(Customers!$P$12:$P$311,271))</f>
        <v/>
      </c>
    </row>
    <row r="291" customFormat="false" ht="15" hidden="false" customHeight="false" outlineLevel="0" collapsed="false">
      <c r="A291" s="50" t="str">
        <f aca="false">IF($I291="","",CHOOSE(INT($I291/1000)+1,"Monday","Tuesday","Wednesday","Thursday","Friday","Saturday","Sunday"))</f>
        <v/>
      </c>
      <c r="B291" s="51" t="str">
        <f aca="false">IF($I291="","",WeekMon+INT($I291/1000))</f>
        <v/>
      </c>
      <c r="C291" s="52" t="str">
        <f aca="false">IF($I291="","",INDEX(Customers!$A$12:$A$311,MOD($I291,1000))&amp;"")</f>
        <v/>
      </c>
      <c r="D291" s="53" t="str">
        <f aca="false">IF($I291="","",INDEX(Customers!$N$12:$N$311,MOD($I291,1000))/100)</f>
        <v/>
      </c>
      <c r="E291" s="54" t="str">
        <f aca="false">IF($I291="","",INDEX(Customers!$C$12:$C$311,MOD($I291,1000))&amp;"")</f>
        <v/>
      </c>
      <c r="F291" s="54"/>
      <c r="I291" s="55" t="str">
        <f aca="false">IF(272&gt;COUNT(Customers!$P$12:$P$311),"",SMALL(Customers!$P$12:$P$311,272))</f>
        <v/>
      </c>
    </row>
    <row r="292" customFormat="false" ht="15" hidden="false" customHeight="false" outlineLevel="0" collapsed="false">
      <c r="A292" s="50" t="str">
        <f aca="false">IF($I292="","",CHOOSE(INT($I292/1000)+1,"Monday","Tuesday","Wednesday","Thursday","Friday","Saturday","Sunday"))</f>
        <v/>
      </c>
      <c r="B292" s="51" t="str">
        <f aca="false">IF($I292="","",WeekMon+INT($I292/1000))</f>
        <v/>
      </c>
      <c r="C292" s="52" t="str">
        <f aca="false">IF($I292="","",INDEX(Customers!$A$12:$A$311,MOD($I292,1000))&amp;"")</f>
        <v/>
      </c>
      <c r="D292" s="53" t="str">
        <f aca="false">IF($I292="","",INDEX(Customers!$N$12:$N$311,MOD($I292,1000))/100)</f>
        <v/>
      </c>
      <c r="E292" s="54" t="str">
        <f aca="false">IF($I292="","",INDEX(Customers!$C$12:$C$311,MOD($I292,1000))&amp;"")</f>
        <v/>
      </c>
      <c r="F292" s="54"/>
      <c r="I292" s="55" t="str">
        <f aca="false">IF(273&gt;COUNT(Customers!$P$12:$P$311),"",SMALL(Customers!$P$12:$P$311,273))</f>
        <v/>
      </c>
    </row>
    <row r="293" customFormat="false" ht="15" hidden="false" customHeight="false" outlineLevel="0" collapsed="false">
      <c r="A293" s="50" t="str">
        <f aca="false">IF($I293="","",CHOOSE(INT($I293/1000)+1,"Monday","Tuesday","Wednesday","Thursday","Friday","Saturday","Sunday"))</f>
        <v/>
      </c>
      <c r="B293" s="51" t="str">
        <f aca="false">IF($I293="","",WeekMon+INT($I293/1000))</f>
        <v/>
      </c>
      <c r="C293" s="52" t="str">
        <f aca="false">IF($I293="","",INDEX(Customers!$A$12:$A$311,MOD($I293,1000))&amp;"")</f>
        <v/>
      </c>
      <c r="D293" s="53" t="str">
        <f aca="false">IF($I293="","",INDEX(Customers!$N$12:$N$311,MOD($I293,1000))/100)</f>
        <v/>
      </c>
      <c r="E293" s="54" t="str">
        <f aca="false">IF($I293="","",INDEX(Customers!$C$12:$C$311,MOD($I293,1000))&amp;"")</f>
        <v/>
      </c>
      <c r="F293" s="54"/>
      <c r="I293" s="55" t="str">
        <f aca="false">IF(274&gt;COUNT(Customers!$P$12:$P$311),"",SMALL(Customers!$P$12:$P$311,274))</f>
        <v/>
      </c>
    </row>
    <row r="294" customFormat="false" ht="15" hidden="false" customHeight="false" outlineLevel="0" collapsed="false">
      <c r="A294" s="50" t="str">
        <f aca="false">IF($I294="","",CHOOSE(INT($I294/1000)+1,"Monday","Tuesday","Wednesday","Thursday","Friday","Saturday","Sunday"))</f>
        <v/>
      </c>
      <c r="B294" s="51" t="str">
        <f aca="false">IF($I294="","",WeekMon+INT($I294/1000))</f>
        <v/>
      </c>
      <c r="C294" s="52" t="str">
        <f aca="false">IF($I294="","",INDEX(Customers!$A$12:$A$311,MOD($I294,1000))&amp;"")</f>
        <v/>
      </c>
      <c r="D294" s="53" t="str">
        <f aca="false">IF($I294="","",INDEX(Customers!$N$12:$N$311,MOD($I294,1000))/100)</f>
        <v/>
      </c>
      <c r="E294" s="54" t="str">
        <f aca="false">IF($I294="","",INDEX(Customers!$C$12:$C$311,MOD($I294,1000))&amp;"")</f>
        <v/>
      </c>
      <c r="F294" s="54"/>
      <c r="I294" s="55" t="str">
        <f aca="false">IF(275&gt;COUNT(Customers!$P$12:$P$311),"",SMALL(Customers!$P$12:$P$311,275))</f>
        <v/>
      </c>
    </row>
    <row r="295" customFormat="false" ht="15" hidden="false" customHeight="false" outlineLevel="0" collapsed="false">
      <c r="A295" s="50" t="str">
        <f aca="false">IF($I295="","",CHOOSE(INT($I295/1000)+1,"Monday","Tuesday","Wednesday","Thursday","Friday","Saturday","Sunday"))</f>
        <v/>
      </c>
      <c r="B295" s="51" t="str">
        <f aca="false">IF($I295="","",WeekMon+INT($I295/1000))</f>
        <v/>
      </c>
      <c r="C295" s="52" t="str">
        <f aca="false">IF($I295="","",INDEX(Customers!$A$12:$A$311,MOD($I295,1000))&amp;"")</f>
        <v/>
      </c>
      <c r="D295" s="53" t="str">
        <f aca="false">IF($I295="","",INDEX(Customers!$N$12:$N$311,MOD($I295,1000))/100)</f>
        <v/>
      </c>
      <c r="E295" s="54" t="str">
        <f aca="false">IF($I295="","",INDEX(Customers!$C$12:$C$311,MOD($I295,1000))&amp;"")</f>
        <v/>
      </c>
      <c r="F295" s="54"/>
      <c r="I295" s="55" t="str">
        <f aca="false">IF(276&gt;COUNT(Customers!$P$12:$P$311),"",SMALL(Customers!$P$12:$P$311,276))</f>
        <v/>
      </c>
    </row>
    <row r="296" customFormat="false" ht="15" hidden="false" customHeight="false" outlineLevel="0" collapsed="false">
      <c r="A296" s="50" t="str">
        <f aca="false">IF($I296="","",CHOOSE(INT($I296/1000)+1,"Monday","Tuesday","Wednesday","Thursday","Friday","Saturday","Sunday"))</f>
        <v/>
      </c>
      <c r="B296" s="51" t="str">
        <f aca="false">IF($I296="","",WeekMon+INT($I296/1000))</f>
        <v/>
      </c>
      <c r="C296" s="52" t="str">
        <f aca="false">IF($I296="","",INDEX(Customers!$A$12:$A$311,MOD($I296,1000))&amp;"")</f>
        <v/>
      </c>
      <c r="D296" s="53" t="str">
        <f aca="false">IF($I296="","",INDEX(Customers!$N$12:$N$311,MOD($I296,1000))/100)</f>
        <v/>
      </c>
      <c r="E296" s="54" t="str">
        <f aca="false">IF($I296="","",INDEX(Customers!$C$12:$C$311,MOD($I296,1000))&amp;"")</f>
        <v/>
      </c>
      <c r="F296" s="54"/>
      <c r="I296" s="55" t="str">
        <f aca="false">IF(277&gt;COUNT(Customers!$P$12:$P$311),"",SMALL(Customers!$P$12:$P$311,277))</f>
        <v/>
      </c>
    </row>
    <row r="297" customFormat="false" ht="15" hidden="false" customHeight="false" outlineLevel="0" collapsed="false">
      <c r="A297" s="50" t="str">
        <f aca="false">IF($I297="","",CHOOSE(INT($I297/1000)+1,"Monday","Tuesday","Wednesday","Thursday","Friday","Saturday","Sunday"))</f>
        <v/>
      </c>
      <c r="B297" s="51" t="str">
        <f aca="false">IF($I297="","",WeekMon+INT($I297/1000))</f>
        <v/>
      </c>
      <c r="C297" s="52" t="str">
        <f aca="false">IF($I297="","",INDEX(Customers!$A$12:$A$311,MOD($I297,1000))&amp;"")</f>
        <v/>
      </c>
      <c r="D297" s="53" t="str">
        <f aca="false">IF($I297="","",INDEX(Customers!$N$12:$N$311,MOD($I297,1000))/100)</f>
        <v/>
      </c>
      <c r="E297" s="54" t="str">
        <f aca="false">IF($I297="","",INDEX(Customers!$C$12:$C$311,MOD($I297,1000))&amp;"")</f>
        <v/>
      </c>
      <c r="F297" s="54"/>
      <c r="I297" s="55" t="str">
        <f aca="false">IF(278&gt;COUNT(Customers!$P$12:$P$311),"",SMALL(Customers!$P$12:$P$311,278))</f>
        <v/>
      </c>
    </row>
    <row r="298" customFormat="false" ht="15" hidden="false" customHeight="false" outlineLevel="0" collapsed="false">
      <c r="A298" s="50" t="str">
        <f aca="false">IF($I298="","",CHOOSE(INT($I298/1000)+1,"Monday","Tuesday","Wednesday","Thursday","Friday","Saturday","Sunday"))</f>
        <v/>
      </c>
      <c r="B298" s="51" t="str">
        <f aca="false">IF($I298="","",WeekMon+INT($I298/1000))</f>
        <v/>
      </c>
      <c r="C298" s="52" t="str">
        <f aca="false">IF($I298="","",INDEX(Customers!$A$12:$A$311,MOD($I298,1000))&amp;"")</f>
        <v/>
      </c>
      <c r="D298" s="53" t="str">
        <f aca="false">IF($I298="","",INDEX(Customers!$N$12:$N$311,MOD($I298,1000))/100)</f>
        <v/>
      </c>
      <c r="E298" s="54" t="str">
        <f aca="false">IF($I298="","",INDEX(Customers!$C$12:$C$311,MOD($I298,1000))&amp;"")</f>
        <v/>
      </c>
      <c r="F298" s="54"/>
      <c r="I298" s="55" t="str">
        <f aca="false">IF(279&gt;COUNT(Customers!$P$12:$P$311),"",SMALL(Customers!$P$12:$P$311,279))</f>
        <v/>
      </c>
    </row>
    <row r="299" customFormat="false" ht="15" hidden="false" customHeight="false" outlineLevel="0" collapsed="false">
      <c r="A299" s="50" t="str">
        <f aca="false">IF($I299="","",CHOOSE(INT($I299/1000)+1,"Monday","Tuesday","Wednesday","Thursday","Friday","Saturday","Sunday"))</f>
        <v/>
      </c>
      <c r="B299" s="51" t="str">
        <f aca="false">IF($I299="","",WeekMon+INT($I299/1000))</f>
        <v/>
      </c>
      <c r="C299" s="52" t="str">
        <f aca="false">IF($I299="","",INDEX(Customers!$A$12:$A$311,MOD($I299,1000))&amp;"")</f>
        <v/>
      </c>
      <c r="D299" s="53" t="str">
        <f aca="false">IF($I299="","",INDEX(Customers!$N$12:$N$311,MOD($I299,1000))/100)</f>
        <v/>
      </c>
      <c r="E299" s="54" t="str">
        <f aca="false">IF($I299="","",INDEX(Customers!$C$12:$C$311,MOD($I299,1000))&amp;"")</f>
        <v/>
      </c>
      <c r="F299" s="54"/>
      <c r="I299" s="55" t="str">
        <f aca="false">IF(280&gt;COUNT(Customers!$P$12:$P$311),"",SMALL(Customers!$P$12:$P$311,280))</f>
        <v/>
      </c>
    </row>
    <row r="300" customFormat="false" ht="15" hidden="false" customHeight="false" outlineLevel="0" collapsed="false">
      <c r="A300" s="50" t="str">
        <f aca="false">IF($I300="","",CHOOSE(INT($I300/1000)+1,"Monday","Tuesday","Wednesday","Thursday","Friday","Saturday","Sunday"))</f>
        <v/>
      </c>
      <c r="B300" s="51" t="str">
        <f aca="false">IF($I300="","",WeekMon+INT($I300/1000))</f>
        <v/>
      </c>
      <c r="C300" s="52" t="str">
        <f aca="false">IF($I300="","",INDEX(Customers!$A$12:$A$311,MOD($I300,1000))&amp;"")</f>
        <v/>
      </c>
      <c r="D300" s="53" t="str">
        <f aca="false">IF($I300="","",INDEX(Customers!$N$12:$N$311,MOD($I300,1000))/100)</f>
        <v/>
      </c>
      <c r="E300" s="54" t="str">
        <f aca="false">IF($I300="","",INDEX(Customers!$C$12:$C$311,MOD($I300,1000))&amp;"")</f>
        <v/>
      </c>
      <c r="F300" s="54"/>
      <c r="I300" s="55" t="str">
        <f aca="false">IF(281&gt;COUNT(Customers!$P$12:$P$311),"",SMALL(Customers!$P$12:$P$311,281))</f>
        <v/>
      </c>
    </row>
    <row r="301" customFormat="false" ht="15" hidden="false" customHeight="false" outlineLevel="0" collapsed="false">
      <c r="A301" s="50" t="str">
        <f aca="false">IF($I301="","",CHOOSE(INT($I301/1000)+1,"Monday","Tuesday","Wednesday","Thursday","Friday","Saturday","Sunday"))</f>
        <v/>
      </c>
      <c r="B301" s="51" t="str">
        <f aca="false">IF($I301="","",WeekMon+INT($I301/1000))</f>
        <v/>
      </c>
      <c r="C301" s="52" t="str">
        <f aca="false">IF($I301="","",INDEX(Customers!$A$12:$A$311,MOD($I301,1000))&amp;"")</f>
        <v/>
      </c>
      <c r="D301" s="53" t="str">
        <f aca="false">IF($I301="","",INDEX(Customers!$N$12:$N$311,MOD($I301,1000))/100)</f>
        <v/>
      </c>
      <c r="E301" s="54" t="str">
        <f aca="false">IF($I301="","",INDEX(Customers!$C$12:$C$311,MOD($I301,1000))&amp;"")</f>
        <v/>
      </c>
      <c r="F301" s="54"/>
      <c r="I301" s="55" t="str">
        <f aca="false">IF(282&gt;COUNT(Customers!$P$12:$P$311),"",SMALL(Customers!$P$12:$P$311,282))</f>
        <v/>
      </c>
    </row>
    <row r="302" customFormat="false" ht="15" hidden="false" customHeight="false" outlineLevel="0" collapsed="false">
      <c r="A302" s="50" t="str">
        <f aca="false">IF($I302="","",CHOOSE(INT($I302/1000)+1,"Monday","Tuesday","Wednesday","Thursday","Friday","Saturday","Sunday"))</f>
        <v/>
      </c>
      <c r="B302" s="51" t="str">
        <f aca="false">IF($I302="","",WeekMon+INT($I302/1000))</f>
        <v/>
      </c>
      <c r="C302" s="52" t="str">
        <f aca="false">IF($I302="","",INDEX(Customers!$A$12:$A$311,MOD($I302,1000))&amp;"")</f>
        <v/>
      </c>
      <c r="D302" s="53" t="str">
        <f aca="false">IF($I302="","",INDEX(Customers!$N$12:$N$311,MOD($I302,1000))/100)</f>
        <v/>
      </c>
      <c r="E302" s="54" t="str">
        <f aca="false">IF($I302="","",INDEX(Customers!$C$12:$C$311,MOD($I302,1000))&amp;"")</f>
        <v/>
      </c>
      <c r="F302" s="54"/>
      <c r="I302" s="55" t="str">
        <f aca="false">IF(283&gt;COUNT(Customers!$P$12:$P$311),"",SMALL(Customers!$P$12:$P$311,283))</f>
        <v/>
      </c>
    </row>
    <row r="303" customFormat="false" ht="15" hidden="false" customHeight="false" outlineLevel="0" collapsed="false">
      <c r="A303" s="50" t="str">
        <f aca="false">IF($I303="","",CHOOSE(INT($I303/1000)+1,"Monday","Tuesday","Wednesday","Thursday","Friday","Saturday","Sunday"))</f>
        <v/>
      </c>
      <c r="B303" s="51" t="str">
        <f aca="false">IF($I303="","",WeekMon+INT($I303/1000))</f>
        <v/>
      </c>
      <c r="C303" s="52" t="str">
        <f aca="false">IF($I303="","",INDEX(Customers!$A$12:$A$311,MOD($I303,1000))&amp;"")</f>
        <v/>
      </c>
      <c r="D303" s="53" t="str">
        <f aca="false">IF($I303="","",INDEX(Customers!$N$12:$N$311,MOD($I303,1000))/100)</f>
        <v/>
      </c>
      <c r="E303" s="54" t="str">
        <f aca="false">IF($I303="","",INDEX(Customers!$C$12:$C$311,MOD($I303,1000))&amp;"")</f>
        <v/>
      </c>
      <c r="F303" s="54"/>
      <c r="I303" s="55" t="str">
        <f aca="false">IF(284&gt;COUNT(Customers!$P$12:$P$311),"",SMALL(Customers!$P$12:$P$311,284))</f>
        <v/>
      </c>
    </row>
    <row r="304" customFormat="false" ht="15" hidden="false" customHeight="false" outlineLevel="0" collapsed="false">
      <c r="A304" s="50" t="str">
        <f aca="false">IF($I304="","",CHOOSE(INT($I304/1000)+1,"Monday","Tuesday","Wednesday","Thursday","Friday","Saturday","Sunday"))</f>
        <v/>
      </c>
      <c r="B304" s="51" t="str">
        <f aca="false">IF($I304="","",WeekMon+INT($I304/1000))</f>
        <v/>
      </c>
      <c r="C304" s="52" t="str">
        <f aca="false">IF($I304="","",INDEX(Customers!$A$12:$A$311,MOD($I304,1000))&amp;"")</f>
        <v/>
      </c>
      <c r="D304" s="53" t="str">
        <f aca="false">IF($I304="","",INDEX(Customers!$N$12:$N$311,MOD($I304,1000))/100)</f>
        <v/>
      </c>
      <c r="E304" s="54" t="str">
        <f aca="false">IF($I304="","",INDEX(Customers!$C$12:$C$311,MOD($I304,1000))&amp;"")</f>
        <v/>
      </c>
      <c r="F304" s="54"/>
      <c r="I304" s="55" t="str">
        <f aca="false">IF(285&gt;COUNT(Customers!$P$12:$P$311),"",SMALL(Customers!$P$12:$P$311,285))</f>
        <v/>
      </c>
    </row>
    <row r="305" customFormat="false" ht="15" hidden="false" customHeight="false" outlineLevel="0" collapsed="false">
      <c r="A305" s="50" t="str">
        <f aca="false">IF($I305="","",CHOOSE(INT($I305/1000)+1,"Monday","Tuesday","Wednesday","Thursday","Friday","Saturday","Sunday"))</f>
        <v/>
      </c>
      <c r="B305" s="51" t="str">
        <f aca="false">IF($I305="","",WeekMon+INT($I305/1000))</f>
        <v/>
      </c>
      <c r="C305" s="52" t="str">
        <f aca="false">IF($I305="","",INDEX(Customers!$A$12:$A$311,MOD($I305,1000))&amp;"")</f>
        <v/>
      </c>
      <c r="D305" s="53" t="str">
        <f aca="false">IF($I305="","",INDEX(Customers!$N$12:$N$311,MOD($I305,1000))/100)</f>
        <v/>
      </c>
      <c r="E305" s="54" t="str">
        <f aca="false">IF($I305="","",INDEX(Customers!$C$12:$C$311,MOD($I305,1000))&amp;"")</f>
        <v/>
      </c>
      <c r="F305" s="54"/>
      <c r="I305" s="55" t="str">
        <f aca="false">IF(286&gt;COUNT(Customers!$P$12:$P$311),"",SMALL(Customers!$P$12:$P$311,286))</f>
        <v/>
      </c>
    </row>
    <row r="306" customFormat="false" ht="15" hidden="false" customHeight="false" outlineLevel="0" collapsed="false">
      <c r="A306" s="50" t="str">
        <f aca="false">IF($I306="","",CHOOSE(INT($I306/1000)+1,"Monday","Tuesday","Wednesday","Thursday","Friday","Saturday","Sunday"))</f>
        <v/>
      </c>
      <c r="B306" s="51" t="str">
        <f aca="false">IF($I306="","",WeekMon+INT($I306/1000))</f>
        <v/>
      </c>
      <c r="C306" s="52" t="str">
        <f aca="false">IF($I306="","",INDEX(Customers!$A$12:$A$311,MOD($I306,1000))&amp;"")</f>
        <v/>
      </c>
      <c r="D306" s="53" t="str">
        <f aca="false">IF($I306="","",INDEX(Customers!$N$12:$N$311,MOD($I306,1000))/100)</f>
        <v/>
      </c>
      <c r="E306" s="54" t="str">
        <f aca="false">IF($I306="","",INDEX(Customers!$C$12:$C$311,MOD($I306,1000))&amp;"")</f>
        <v/>
      </c>
      <c r="F306" s="54"/>
      <c r="I306" s="55" t="str">
        <f aca="false">IF(287&gt;COUNT(Customers!$P$12:$P$311),"",SMALL(Customers!$P$12:$P$311,287))</f>
        <v/>
      </c>
    </row>
    <row r="307" customFormat="false" ht="15" hidden="false" customHeight="false" outlineLevel="0" collapsed="false">
      <c r="A307" s="50" t="str">
        <f aca="false">IF($I307="","",CHOOSE(INT($I307/1000)+1,"Monday","Tuesday","Wednesday","Thursday","Friday","Saturday","Sunday"))</f>
        <v/>
      </c>
      <c r="B307" s="51" t="str">
        <f aca="false">IF($I307="","",WeekMon+INT($I307/1000))</f>
        <v/>
      </c>
      <c r="C307" s="52" t="str">
        <f aca="false">IF($I307="","",INDEX(Customers!$A$12:$A$311,MOD($I307,1000))&amp;"")</f>
        <v/>
      </c>
      <c r="D307" s="53" t="str">
        <f aca="false">IF($I307="","",INDEX(Customers!$N$12:$N$311,MOD($I307,1000))/100)</f>
        <v/>
      </c>
      <c r="E307" s="54" t="str">
        <f aca="false">IF($I307="","",INDEX(Customers!$C$12:$C$311,MOD($I307,1000))&amp;"")</f>
        <v/>
      </c>
      <c r="F307" s="54"/>
      <c r="I307" s="55" t="str">
        <f aca="false">IF(288&gt;COUNT(Customers!$P$12:$P$311),"",SMALL(Customers!$P$12:$P$311,288))</f>
        <v/>
      </c>
    </row>
    <row r="308" customFormat="false" ht="15" hidden="false" customHeight="false" outlineLevel="0" collapsed="false">
      <c r="A308" s="50" t="str">
        <f aca="false">IF($I308="","",CHOOSE(INT($I308/1000)+1,"Monday","Tuesday","Wednesday","Thursday","Friday","Saturday","Sunday"))</f>
        <v/>
      </c>
      <c r="B308" s="51" t="str">
        <f aca="false">IF($I308="","",WeekMon+INT($I308/1000))</f>
        <v/>
      </c>
      <c r="C308" s="52" t="str">
        <f aca="false">IF($I308="","",INDEX(Customers!$A$12:$A$311,MOD($I308,1000))&amp;"")</f>
        <v/>
      </c>
      <c r="D308" s="53" t="str">
        <f aca="false">IF($I308="","",INDEX(Customers!$N$12:$N$311,MOD($I308,1000))/100)</f>
        <v/>
      </c>
      <c r="E308" s="54" t="str">
        <f aca="false">IF($I308="","",INDEX(Customers!$C$12:$C$311,MOD($I308,1000))&amp;"")</f>
        <v/>
      </c>
      <c r="F308" s="54"/>
      <c r="I308" s="55" t="str">
        <f aca="false">IF(289&gt;COUNT(Customers!$P$12:$P$311),"",SMALL(Customers!$P$12:$P$311,289))</f>
        <v/>
      </c>
    </row>
    <row r="309" customFormat="false" ht="15" hidden="false" customHeight="false" outlineLevel="0" collapsed="false">
      <c r="A309" s="50" t="str">
        <f aca="false">IF($I309="","",CHOOSE(INT($I309/1000)+1,"Monday","Tuesday","Wednesday","Thursday","Friday","Saturday","Sunday"))</f>
        <v/>
      </c>
      <c r="B309" s="51" t="str">
        <f aca="false">IF($I309="","",WeekMon+INT($I309/1000))</f>
        <v/>
      </c>
      <c r="C309" s="52" t="str">
        <f aca="false">IF($I309="","",INDEX(Customers!$A$12:$A$311,MOD($I309,1000))&amp;"")</f>
        <v/>
      </c>
      <c r="D309" s="53" t="str">
        <f aca="false">IF($I309="","",INDEX(Customers!$N$12:$N$311,MOD($I309,1000))/100)</f>
        <v/>
      </c>
      <c r="E309" s="54" t="str">
        <f aca="false">IF($I309="","",INDEX(Customers!$C$12:$C$311,MOD($I309,1000))&amp;"")</f>
        <v/>
      </c>
      <c r="F309" s="54"/>
      <c r="I309" s="55" t="str">
        <f aca="false">IF(290&gt;COUNT(Customers!$P$12:$P$311),"",SMALL(Customers!$P$12:$P$311,290))</f>
        <v/>
      </c>
    </row>
    <row r="310" customFormat="false" ht="15" hidden="false" customHeight="false" outlineLevel="0" collapsed="false">
      <c r="A310" s="50" t="str">
        <f aca="false">IF($I310="","",CHOOSE(INT($I310/1000)+1,"Monday","Tuesday","Wednesday","Thursday","Friday","Saturday","Sunday"))</f>
        <v/>
      </c>
      <c r="B310" s="51" t="str">
        <f aca="false">IF($I310="","",WeekMon+INT($I310/1000))</f>
        <v/>
      </c>
      <c r="C310" s="52" t="str">
        <f aca="false">IF($I310="","",INDEX(Customers!$A$12:$A$311,MOD($I310,1000))&amp;"")</f>
        <v/>
      </c>
      <c r="D310" s="53" t="str">
        <f aca="false">IF($I310="","",INDEX(Customers!$N$12:$N$311,MOD($I310,1000))/100)</f>
        <v/>
      </c>
      <c r="E310" s="54" t="str">
        <f aca="false">IF($I310="","",INDEX(Customers!$C$12:$C$311,MOD($I310,1000))&amp;"")</f>
        <v/>
      </c>
      <c r="F310" s="54"/>
      <c r="I310" s="55" t="str">
        <f aca="false">IF(291&gt;COUNT(Customers!$P$12:$P$311),"",SMALL(Customers!$P$12:$P$311,291))</f>
        <v/>
      </c>
    </row>
    <row r="311" customFormat="false" ht="15" hidden="false" customHeight="false" outlineLevel="0" collapsed="false">
      <c r="A311" s="50" t="str">
        <f aca="false">IF($I311="","",CHOOSE(INT($I311/1000)+1,"Monday","Tuesday","Wednesday","Thursday","Friday","Saturday","Sunday"))</f>
        <v/>
      </c>
      <c r="B311" s="51" t="str">
        <f aca="false">IF($I311="","",WeekMon+INT($I311/1000))</f>
        <v/>
      </c>
      <c r="C311" s="52" t="str">
        <f aca="false">IF($I311="","",INDEX(Customers!$A$12:$A$311,MOD($I311,1000))&amp;"")</f>
        <v/>
      </c>
      <c r="D311" s="53" t="str">
        <f aca="false">IF($I311="","",INDEX(Customers!$N$12:$N$311,MOD($I311,1000))/100)</f>
        <v/>
      </c>
      <c r="E311" s="54" t="str">
        <f aca="false">IF($I311="","",INDEX(Customers!$C$12:$C$311,MOD($I311,1000))&amp;"")</f>
        <v/>
      </c>
      <c r="F311" s="54"/>
      <c r="I311" s="55" t="str">
        <f aca="false">IF(292&gt;COUNT(Customers!$P$12:$P$311),"",SMALL(Customers!$P$12:$P$311,292))</f>
        <v/>
      </c>
    </row>
    <row r="312" customFormat="false" ht="15" hidden="false" customHeight="false" outlineLevel="0" collapsed="false">
      <c r="A312" s="50" t="str">
        <f aca="false">IF($I312="","",CHOOSE(INT($I312/1000)+1,"Monday","Tuesday","Wednesday","Thursday","Friday","Saturday","Sunday"))</f>
        <v/>
      </c>
      <c r="B312" s="51" t="str">
        <f aca="false">IF($I312="","",WeekMon+INT($I312/1000))</f>
        <v/>
      </c>
      <c r="C312" s="52" t="str">
        <f aca="false">IF($I312="","",INDEX(Customers!$A$12:$A$311,MOD($I312,1000))&amp;"")</f>
        <v/>
      </c>
      <c r="D312" s="53" t="str">
        <f aca="false">IF($I312="","",INDEX(Customers!$N$12:$N$311,MOD($I312,1000))/100)</f>
        <v/>
      </c>
      <c r="E312" s="54" t="str">
        <f aca="false">IF($I312="","",INDEX(Customers!$C$12:$C$311,MOD($I312,1000))&amp;"")</f>
        <v/>
      </c>
      <c r="F312" s="54"/>
      <c r="I312" s="55" t="str">
        <f aca="false">IF(293&gt;COUNT(Customers!$P$12:$P$311),"",SMALL(Customers!$P$12:$P$311,293))</f>
        <v/>
      </c>
    </row>
    <row r="313" customFormat="false" ht="15" hidden="false" customHeight="false" outlineLevel="0" collapsed="false">
      <c r="A313" s="50" t="str">
        <f aca="false">IF($I313="","",CHOOSE(INT($I313/1000)+1,"Monday","Tuesday","Wednesday","Thursday","Friday","Saturday","Sunday"))</f>
        <v/>
      </c>
      <c r="B313" s="51" t="str">
        <f aca="false">IF($I313="","",WeekMon+INT($I313/1000))</f>
        <v/>
      </c>
      <c r="C313" s="52" t="str">
        <f aca="false">IF($I313="","",INDEX(Customers!$A$12:$A$311,MOD($I313,1000))&amp;"")</f>
        <v/>
      </c>
      <c r="D313" s="53" t="str">
        <f aca="false">IF($I313="","",INDEX(Customers!$N$12:$N$311,MOD($I313,1000))/100)</f>
        <v/>
      </c>
      <c r="E313" s="54" t="str">
        <f aca="false">IF($I313="","",INDEX(Customers!$C$12:$C$311,MOD($I313,1000))&amp;"")</f>
        <v/>
      </c>
      <c r="F313" s="54"/>
      <c r="I313" s="55" t="str">
        <f aca="false">IF(294&gt;COUNT(Customers!$P$12:$P$311),"",SMALL(Customers!$P$12:$P$311,294))</f>
        <v/>
      </c>
    </row>
    <row r="314" customFormat="false" ht="15" hidden="false" customHeight="false" outlineLevel="0" collapsed="false">
      <c r="A314" s="50" t="str">
        <f aca="false">IF($I314="","",CHOOSE(INT($I314/1000)+1,"Monday","Tuesday","Wednesday","Thursday","Friday","Saturday","Sunday"))</f>
        <v/>
      </c>
      <c r="B314" s="51" t="str">
        <f aca="false">IF($I314="","",WeekMon+INT($I314/1000))</f>
        <v/>
      </c>
      <c r="C314" s="52" t="str">
        <f aca="false">IF($I314="","",INDEX(Customers!$A$12:$A$311,MOD($I314,1000))&amp;"")</f>
        <v/>
      </c>
      <c r="D314" s="53" t="str">
        <f aca="false">IF($I314="","",INDEX(Customers!$N$12:$N$311,MOD($I314,1000))/100)</f>
        <v/>
      </c>
      <c r="E314" s="54" t="str">
        <f aca="false">IF($I314="","",INDEX(Customers!$C$12:$C$311,MOD($I314,1000))&amp;"")</f>
        <v/>
      </c>
      <c r="F314" s="54"/>
      <c r="I314" s="55" t="str">
        <f aca="false">IF(295&gt;COUNT(Customers!$P$12:$P$311),"",SMALL(Customers!$P$12:$P$311,295))</f>
        <v/>
      </c>
    </row>
    <row r="315" customFormat="false" ht="15" hidden="false" customHeight="false" outlineLevel="0" collapsed="false">
      <c r="A315" s="50" t="str">
        <f aca="false">IF($I315="","",CHOOSE(INT($I315/1000)+1,"Monday","Tuesday","Wednesday","Thursday","Friday","Saturday","Sunday"))</f>
        <v/>
      </c>
      <c r="B315" s="51" t="str">
        <f aca="false">IF($I315="","",WeekMon+INT($I315/1000))</f>
        <v/>
      </c>
      <c r="C315" s="52" t="str">
        <f aca="false">IF($I315="","",INDEX(Customers!$A$12:$A$311,MOD($I315,1000))&amp;"")</f>
        <v/>
      </c>
      <c r="D315" s="53" t="str">
        <f aca="false">IF($I315="","",INDEX(Customers!$N$12:$N$311,MOD($I315,1000))/100)</f>
        <v/>
      </c>
      <c r="E315" s="54" t="str">
        <f aca="false">IF($I315="","",INDEX(Customers!$C$12:$C$311,MOD($I315,1000))&amp;"")</f>
        <v/>
      </c>
      <c r="F315" s="54"/>
      <c r="I315" s="55" t="str">
        <f aca="false">IF(296&gt;COUNT(Customers!$P$12:$P$311),"",SMALL(Customers!$P$12:$P$311,296))</f>
        <v/>
      </c>
    </row>
    <row r="316" customFormat="false" ht="15" hidden="false" customHeight="false" outlineLevel="0" collapsed="false">
      <c r="A316" s="50" t="str">
        <f aca="false">IF($I316="","",CHOOSE(INT($I316/1000)+1,"Monday","Tuesday","Wednesday","Thursday","Friday","Saturday","Sunday"))</f>
        <v/>
      </c>
      <c r="B316" s="51" t="str">
        <f aca="false">IF($I316="","",WeekMon+INT($I316/1000))</f>
        <v/>
      </c>
      <c r="C316" s="52" t="str">
        <f aca="false">IF($I316="","",INDEX(Customers!$A$12:$A$311,MOD($I316,1000))&amp;"")</f>
        <v/>
      </c>
      <c r="D316" s="53" t="str">
        <f aca="false">IF($I316="","",INDEX(Customers!$N$12:$N$311,MOD($I316,1000))/100)</f>
        <v/>
      </c>
      <c r="E316" s="54" t="str">
        <f aca="false">IF($I316="","",INDEX(Customers!$C$12:$C$311,MOD($I316,1000))&amp;"")</f>
        <v/>
      </c>
      <c r="F316" s="54"/>
      <c r="I316" s="55" t="str">
        <f aca="false">IF(297&gt;COUNT(Customers!$P$12:$P$311),"",SMALL(Customers!$P$12:$P$311,297))</f>
        <v/>
      </c>
    </row>
    <row r="317" customFormat="false" ht="15" hidden="false" customHeight="false" outlineLevel="0" collapsed="false">
      <c r="A317" s="50" t="str">
        <f aca="false">IF($I317="","",CHOOSE(INT($I317/1000)+1,"Monday","Tuesday","Wednesday","Thursday","Friday","Saturday","Sunday"))</f>
        <v/>
      </c>
      <c r="B317" s="51" t="str">
        <f aca="false">IF($I317="","",WeekMon+INT($I317/1000))</f>
        <v/>
      </c>
      <c r="C317" s="52" t="str">
        <f aca="false">IF($I317="","",INDEX(Customers!$A$12:$A$311,MOD($I317,1000))&amp;"")</f>
        <v/>
      </c>
      <c r="D317" s="53" t="str">
        <f aca="false">IF($I317="","",INDEX(Customers!$N$12:$N$311,MOD($I317,1000))/100)</f>
        <v/>
      </c>
      <c r="E317" s="54" t="str">
        <f aca="false">IF($I317="","",INDEX(Customers!$C$12:$C$311,MOD($I317,1000))&amp;"")</f>
        <v/>
      </c>
      <c r="F317" s="54"/>
      <c r="I317" s="55" t="str">
        <f aca="false">IF(298&gt;COUNT(Customers!$P$12:$P$311),"",SMALL(Customers!$P$12:$P$311,298))</f>
        <v/>
      </c>
    </row>
    <row r="318" customFormat="false" ht="15" hidden="false" customHeight="false" outlineLevel="0" collapsed="false">
      <c r="A318" s="50" t="str">
        <f aca="false">IF($I318="","",CHOOSE(INT($I318/1000)+1,"Monday","Tuesday","Wednesday","Thursday","Friday","Saturday","Sunday"))</f>
        <v/>
      </c>
      <c r="B318" s="51" t="str">
        <f aca="false">IF($I318="","",WeekMon+INT($I318/1000))</f>
        <v/>
      </c>
      <c r="C318" s="52" t="str">
        <f aca="false">IF($I318="","",INDEX(Customers!$A$12:$A$311,MOD($I318,1000))&amp;"")</f>
        <v/>
      </c>
      <c r="D318" s="53" t="str">
        <f aca="false">IF($I318="","",INDEX(Customers!$N$12:$N$311,MOD($I318,1000))/100)</f>
        <v/>
      </c>
      <c r="E318" s="54" t="str">
        <f aca="false">IF($I318="","",INDEX(Customers!$C$12:$C$311,MOD($I318,1000))&amp;"")</f>
        <v/>
      </c>
      <c r="F318" s="54"/>
      <c r="I318" s="55" t="str">
        <f aca="false">IF(299&gt;COUNT(Customers!$P$12:$P$311),"",SMALL(Customers!$P$12:$P$311,299))</f>
        <v/>
      </c>
    </row>
    <row r="319" customFormat="false" ht="15" hidden="false" customHeight="false" outlineLevel="0" collapsed="false">
      <c r="A319" s="50" t="str">
        <f aca="false">IF($I319="","",CHOOSE(INT($I319/1000)+1,"Monday","Tuesday","Wednesday","Thursday","Friday","Saturday","Sunday"))</f>
        <v/>
      </c>
      <c r="B319" s="51" t="str">
        <f aca="false">IF($I319="","",WeekMon+INT($I319/1000))</f>
        <v/>
      </c>
      <c r="C319" s="52" t="str">
        <f aca="false">IF($I319="","",INDEX(Customers!$A$12:$A$311,MOD($I319,1000))&amp;"")</f>
        <v/>
      </c>
      <c r="D319" s="53" t="str">
        <f aca="false">IF($I319="","",INDEX(Customers!$N$12:$N$311,MOD($I319,1000))/100)</f>
        <v/>
      </c>
      <c r="E319" s="54" t="str">
        <f aca="false">IF($I319="","",INDEX(Customers!$C$12:$C$311,MOD($I319,1000))&amp;"")</f>
        <v/>
      </c>
      <c r="F319" s="54"/>
      <c r="I319" s="55" t="str">
        <f aca="false">IF(300&gt;COUNT(Customers!$P$12:$P$311),"",SMALL(Customers!$P$12:$P$311,300))</f>
        <v/>
      </c>
    </row>
  </sheetData>
  <sheetProtection sheet="true" formatCells="false" formatColumns="false" formatRows="false"/>
  <mergeCells count="308">
    <mergeCell ref="C3:H3"/>
    <mergeCell ref="A4:H4"/>
    <mergeCell ref="C5:H5"/>
    <mergeCell ref="A6:H6"/>
    <mergeCell ref="A7:H7"/>
    <mergeCell ref="A8:H8"/>
    <mergeCell ref="A18:H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E250:F250"/>
    <mergeCell ref="E251:F251"/>
    <mergeCell ref="E252:F252"/>
    <mergeCell ref="E253:F253"/>
    <mergeCell ref="E254:F254"/>
    <mergeCell ref="E255:F255"/>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E292:F292"/>
    <mergeCell ref="E293:F293"/>
    <mergeCell ref="E294:F294"/>
    <mergeCell ref="E295:F295"/>
    <mergeCell ref="E296:F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s>
  <conditionalFormatting sqref="C11:C17">
    <cfRule type="expression" priority="2" aboveAverage="0" equalAverage="0" bottom="0" percent="0" rank="0" text="" dxfId="0">
      <formula>OR($C11="OVER CAPACITY",$C11="CAPACITY NOT SET")</formula>
    </cfRule>
  </conditionalFormatting>
  <conditionalFormatting sqref="A20:E319">
    <cfRule type="expression" priority="3" aboveAverage="0" equalAverage="0" bottom="0" percent="0" rank="0" text="" dxfId="10">
      <formula>AND($I20&lt;&gt;"",$A20&lt;&gt;$A19)</formula>
    </cfRule>
  </conditionalFormatting>
  <conditionalFormatting sqref="C5">
    <cfRule type="expression" priority="4" aboveAverage="0" equalAverage="0" bottom="0" percent="0" rank="0" text="" dxfId="0">
      <formula>LEFT($C$5,1)="⚠"</formula>
    </cfRule>
  </conditionalFormatting>
  <dataValidations count="1">
    <dataValidation allowBlank="true" error="Enter a date from 2000 to 2099." errorStyle="stop" errorTitle="Week to print" operator="between" showDropDown="false" showErrorMessage="true" showInputMessage="false" sqref="B3" type="date">
      <formula1>DATE(2000,1,1)</formula1>
      <formula2>DATE(2099,12,31)</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2026-10-22T12:37:46Z</dcterms:created>
  <dc:creator>openpyxl</dc:creator>
  <dc:description/>
  <dc:language>en-US</dc:language>
  <cp:lastModifiedBy/>
  <dcterms:modified xsi:type="dcterms:W3CDTF">2026-10-22T12:37:46Z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